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7530" windowHeight="4590" activeTab="0"/>
  </bookViews>
  <sheets>
    <sheet name="DATOS" sheetId="1" r:id="rId1"/>
    <sheet name="Calculos" sheetId="2" r:id="rId2"/>
    <sheet name="Hoja3" sheetId="3" r:id="rId3"/>
  </sheets>
  <definedNames>
    <definedName name="_xlnm.Print_Area" localSheetId="0">'DATOS'!$B$1:$P$54</definedName>
  </definedNames>
  <calcPr fullCalcOnLoad="1"/>
</workbook>
</file>

<file path=xl/sharedStrings.xml><?xml version="1.0" encoding="utf-8"?>
<sst xmlns="http://schemas.openxmlformats.org/spreadsheetml/2006/main" count="76" uniqueCount="66">
  <si>
    <t>Fecha compra</t>
  </si>
  <si>
    <t>Fecha venta</t>
  </si>
  <si>
    <t>Dias hasta 19/01/2006</t>
  </si>
  <si>
    <t>Años hasta 31/12/96</t>
  </si>
  <si>
    <t>Dias permanencia 360</t>
  </si>
  <si>
    <t>Años</t>
  </si>
  <si>
    <t>Dia permanencia 365</t>
  </si>
  <si>
    <t>Parte general</t>
  </si>
  <si>
    <t>Parte régimen transitorio</t>
  </si>
  <si>
    <t>Dias hasta 31/12/1996</t>
  </si>
  <si>
    <t>Inmueble</t>
  </si>
  <si>
    <t>Acciones Cotiz</t>
  </si>
  <si>
    <t>Otros</t>
  </si>
  <si>
    <t>Coste</t>
  </si>
  <si>
    <t>Coste Actualizado</t>
  </si>
  <si>
    <t>Precio Venta</t>
  </si>
  <si>
    <t>Beneficio</t>
  </si>
  <si>
    <t>SUJETO</t>
  </si>
  <si>
    <t>Fecha adquisición</t>
  </si>
  <si>
    <t>Coste adquisicisión</t>
  </si>
  <si>
    <t>Gastos e impuestos</t>
  </si>
  <si>
    <t>Tipo de bien</t>
  </si>
  <si>
    <t>Inmuebles</t>
  </si>
  <si>
    <t>INMUEBLE</t>
  </si>
  <si>
    <t>ACCIONES COTIZADAS</t>
  </si>
  <si>
    <t>OTROS</t>
  </si>
  <si>
    <t>Fecha enajenación</t>
  </si>
  <si>
    <t>Importe venta</t>
  </si>
  <si>
    <t>Dia hasta 31/12/96</t>
  </si>
  <si>
    <t>Dias permanencia hasta fecha venta</t>
  </si>
  <si>
    <t>Dias permannecia hasta 19/01/2006</t>
  </si>
  <si>
    <t>Años a efectos coeficiente abatimiento</t>
  </si>
  <si>
    <t>Periodos de aplicación coeficiente</t>
  </si>
  <si>
    <t>Porcenteje ganancia  en régimen transitorio</t>
  </si>
  <si>
    <t>Porcentaje ganancia en régimen general</t>
  </si>
  <si>
    <t>Acciones Cotizadas</t>
  </si>
  <si>
    <t>PORCENTAJE SUJETO REGIMEN TRANSITORIO</t>
  </si>
  <si>
    <t>Coste actualizado</t>
  </si>
  <si>
    <t>Año Inversión</t>
  </si>
  <si>
    <t>Coeficiente</t>
  </si>
  <si>
    <t>Precio Venta Neto</t>
  </si>
  <si>
    <t>Ganancia Patrimonial</t>
  </si>
  <si>
    <t>GANANCIA PATRIMONIAL TOTAL</t>
  </si>
  <si>
    <t>GANANCIA SUJETA A REGIMEN GENERAL</t>
  </si>
  <si>
    <t>GANANCIA SUJETA A REGIMEN TRANSITORIO</t>
  </si>
  <si>
    <t>GANANCIA SUJETA A GRAVAMEN</t>
  </si>
  <si>
    <t>IMPUESTO DEVENGADO POR GANANCIA PATRIMONIAL</t>
  </si>
  <si>
    <t>DATOS INICIALES</t>
  </si>
  <si>
    <t>DATOS Y PROCESO CALCULO</t>
  </si>
  <si>
    <t>Desglose:</t>
  </si>
  <si>
    <t>GANANCIA EXENTA POR REGIMEN TRANSITORIO</t>
  </si>
  <si>
    <t>DISTRIBUCION LINEAL DE LA GANANCIA PATRIMONIAL</t>
  </si>
  <si>
    <t>Ganancia Régimen General</t>
  </si>
  <si>
    <t>Ganancia Sujeta Regimen Transitorio</t>
  </si>
  <si>
    <t>Ganancia EXENTA Régimen Transitorio</t>
  </si>
  <si>
    <t>Impuesto derivado Régimen General</t>
  </si>
  <si>
    <t>Impuesto derivado Régimen Transitorio</t>
  </si>
  <si>
    <t>Gastos a cgo vendedor</t>
  </si>
  <si>
    <t xml:space="preserve">NO TIENE EFECTOS PRACTICOS: GANANCIA PATRIMONIAL AL TIPO DE GRAVAMEN </t>
  </si>
  <si>
    <t>EN LAS TRANSMISIONES DE ELMENTOS ADQUIRIDOS CON POSTERIORIDAD A 31/12/94</t>
  </si>
  <si>
    <t xml:space="preserve">Hasta </t>
  </si>
  <si>
    <t>Mas</t>
  </si>
  <si>
    <t>TIPOS GRAVAMEN AHORRO</t>
  </si>
  <si>
    <t>GANANCIAS A TIPO MARGINAL</t>
  </si>
  <si>
    <t xml:space="preserve">             TIPO DE GRAVAMEN medio (calculo)</t>
  </si>
  <si>
    <t>Nota: ApliCación estimativa efecto fiscal, solamente a efectos orientativos.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</si>
</sst>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"/>
    <numFmt numFmtId="166" formatCode="yyyy"/>
    <numFmt numFmtId="167" formatCode="0.00000"/>
    <numFmt numFmtId="168" formatCode="0.000000"/>
    <numFmt numFmtId="169" formatCode="0.0000"/>
    <numFmt numFmtId="170" formatCode="#,##0.000"/>
    <numFmt numFmtId="171" formatCode="#,##0.00\ &quot;€&quot;"/>
    <numFmt numFmtId="172" formatCode="[$-C0A]dddd\,\ dd&quot; de &quot;mmmm&quot; de &quot;yyyy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u val="single"/>
      <sz val="12"/>
      <name val="Arial"/>
      <family val="2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.5"/>
      <color indexed="8"/>
      <name val="Arial"/>
      <family val="2"/>
    </font>
    <font>
      <sz val="12"/>
      <color indexed="8"/>
      <name val="Arial"/>
      <family val="2"/>
    </font>
    <font>
      <sz val="10.5"/>
      <color indexed="8"/>
      <name val="Arial"/>
      <family val="2"/>
    </font>
    <font>
      <b/>
      <sz val="10"/>
      <color indexed="8"/>
      <name val="Arial"/>
      <family val="2"/>
    </font>
    <font>
      <sz val="9.2"/>
      <color indexed="8"/>
      <name val="Arial"/>
      <family val="2"/>
    </font>
    <font>
      <sz val="11"/>
      <color indexed="8"/>
      <name val="Arial"/>
      <family val="2"/>
    </font>
    <font>
      <b/>
      <sz val="13.75"/>
      <color indexed="8"/>
      <name val="Arial"/>
      <family val="2"/>
    </font>
    <font>
      <sz val="10.1"/>
      <color indexed="8"/>
      <name val="Arial"/>
      <family val="2"/>
    </font>
    <font>
      <sz val="9"/>
      <color indexed="8"/>
      <name val="Arial"/>
      <family val="2"/>
    </font>
    <font>
      <sz val="8.25"/>
      <color indexed="8"/>
      <name val="Arial"/>
      <family val="2"/>
    </font>
    <font>
      <sz val="11.25"/>
      <color indexed="8"/>
      <name val="Arial"/>
      <family val="2"/>
    </font>
    <font>
      <sz val="10.35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8"/>
      <color indexed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Dashed"/>
      <top>
        <color indexed="63"/>
      </top>
      <bottom style="thick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44" fontId="0" fillId="0" borderId="0" applyFont="0" applyFill="0" applyBorder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128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10" fontId="0" fillId="0" borderId="0" xfId="53" applyNumberFormat="1" applyFont="1" applyAlignment="1">
      <alignment horizontal="center"/>
    </xf>
    <xf numFmtId="10" fontId="0" fillId="0" borderId="0" xfId="0" applyNumberFormat="1" applyAlignment="1">
      <alignment/>
    </xf>
    <xf numFmtId="10" fontId="0" fillId="0" borderId="0" xfId="53" applyNumberFormat="1" applyFont="1" applyAlignment="1">
      <alignment/>
    </xf>
    <xf numFmtId="44" fontId="0" fillId="0" borderId="0" xfId="45" applyFont="1" applyAlignment="1">
      <alignment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44" fontId="1" fillId="0" borderId="0" xfId="0" applyNumberFormat="1" applyFont="1" applyAlignment="1">
      <alignment/>
    </xf>
    <xf numFmtId="9" fontId="0" fillId="0" borderId="0" xfId="0" applyNumberFormat="1" applyAlignment="1">
      <alignment/>
    </xf>
    <xf numFmtId="44" fontId="0" fillId="24" borderId="0" xfId="0" applyNumberFormat="1" applyFill="1" applyAlignment="1">
      <alignment/>
    </xf>
    <xf numFmtId="0" fontId="1" fillId="22" borderId="0" xfId="0" applyFont="1" applyFill="1" applyAlignment="1">
      <alignment/>
    </xf>
    <xf numFmtId="3" fontId="1" fillId="22" borderId="0" xfId="0" applyNumberFormat="1" applyFont="1" applyFill="1" applyAlignment="1">
      <alignment horizontal="center"/>
    </xf>
    <xf numFmtId="14" fontId="0" fillId="22" borderId="0" xfId="0" applyNumberFormat="1" applyFill="1" applyAlignment="1">
      <alignment/>
    </xf>
    <xf numFmtId="0" fontId="0" fillId="22" borderId="0" xfId="0" applyFill="1" applyAlignment="1">
      <alignment/>
    </xf>
    <xf numFmtId="14" fontId="1" fillId="22" borderId="0" xfId="0" applyNumberFormat="1" applyFont="1" applyFill="1" applyAlignment="1">
      <alignment/>
    </xf>
    <xf numFmtId="4" fontId="0" fillId="22" borderId="0" xfId="0" applyNumberFormat="1" applyFill="1" applyAlignment="1">
      <alignment horizontal="center"/>
    </xf>
    <xf numFmtId="0" fontId="0" fillId="0" borderId="10" xfId="0" applyBorder="1" applyAlignment="1">
      <alignment/>
    </xf>
    <xf numFmtId="10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0" fontId="0" fillId="0" borderId="13" xfId="53" applyNumberFormat="1" applyFont="1" applyBorder="1" applyAlignment="1">
      <alignment/>
    </xf>
    <xf numFmtId="0" fontId="0" fillId="0" borderId="14" xfId="0" applyBorder="1" applyAlignment="1">
      <alignment/>
    </xf>
    <xf numFmtId="10" fontId="0" fillId="0" borderId="15" xfId="53" applyNumberFormat="1" applyFont="1" applyBorder="1" applyAlignment="1">
      <alignment/>
    </xf>
    <xf numFmtId="169" fontId="0" fillId="0" borderId="0" xfId="0" applyNumberFormat="1" applyAlignment="1">
      <alignment/>
    </xf>
    <xf numFmtId="0" fontId="2" fillId="25" borderId="0" xfId="0" applyFont="1" applyFill="1" applyAlignment="1">
      <alignment horizontal="center"/>
    </xf>
    <xf numFmtId="0" fontId="1" fillId="0" borderId="16" xfId="0" applyFon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16" borderId="0" xfId="0" applyFont="1" applyFill="1" applyBorder="1" applyAlignment="1">
      <alignment/>
    </xf>
    <xf numFmtId="0" fontId="0" fillId="16" borderId="16" xfId="0" applyFont="1" applyFill="1" applyBorder="1" applyAlignment="1">
      <alignment/>
    </xf>
    <xf numFmtId="0" fontId="0" fillId="16" borderId="0" xfId="0" applyFill="1" applyAlignment="1">
      <alignment/>
    </xf>
    <xf numFmtId="0" fontId="0" fillId="16" borderId="16" xfId="0" applyFill="1" applyBorder="1" applyAlignment="1">
      <alignment/>
    </xf>
    <xf numFmtId="0" fontId="0" fillId="16" borderId="18" xfId="0" applyFill="1" applyBorder="1" applyAlignment="1">
      <alignment/>
    </xf>
    <xf numFmtId="0" fontId="1" fillId="16" borderId="0" xfId="0" applyFont="1" applyFill="1" applyAlignment="1">
      <alignment/>
    </xf>
    <xf numFmtId="0" fontId="0" fillId="0" borderId="0" xfId="0" applyFont="1" applyAlignment="1">
      <alignment/>
    </xf>
    <xf numFmtId="0" fontId="3" fillId="16" borderId="19" xfId="0" applyFont="1" applyFill="1" applyBorder="1" applyAlignment="1">
      <alignment/>
    </xf>
    <xf numFmtId="0" fontId="0" fillId="16" borderId="17" xfId="0" applyFill="1" applyBorder="1" applyAlignment="1">
      <alignment/>
    </xf>
    <xf numFmtId="44" fontId="3" fillId="16" borderId="20" xfId="45" applyFont="1" applyFill="1" applyBorder="1" applyAlignment="1">
      <alignment/>
    </xf>
    <xf numFmtId="0" fontId="1" fillId="26" borderId="21" xfId="0" applyFont="1" applyFill="1" applyBorder="1" applyAlignment="1">
      <alignment/>
    </xf>
    <xf numFmtId="0" fontId="0" fillId="26" borderId="22" xfId="0" applyFill="1" applyBorder="1" applyAlignment="1">
      <alignment/>
    </xf>
    <xf numFmtId="0" fontId="1" fillId="26" borderId="22" xfId="0" applyFont="1" applyFill="1" applyBorder="1" applyAlignment="1">
      <alignment/>
    </xf>
    <xf numFmtId="0" fontId="0" fillId="26" borderId="22" xfId="0" applyFont="1" applyFill="1" applyBorder="1" applyAlignment="1">
      <alignment/>
    </xf>
    <xf numFmtId="0" fontId="1" fillId="26" borderId="23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4" xfId="0" applyFont="1" applyBorder="1" applyAlignment="1">
      <alignment/>
    </xf>
    <xf numFmtId="0" fontId="0" fillId="0" borderId="25" xfId="0" applyBorder="1" applyAlignment="1">
      <alignment/>
    </xf>
    <xf numFmtId="14" fontId="1" fillId="0" borderId="0" xfId="0" applyNumberFormat="1" applyFont="1" applyAlignment="1">
      <alignment/>
    </xf>
    <xf numFmtId="0" fontId="0" fillId="0" borderId="26" xfId="0" applyBorder="1" applyAlignment="1">
      <alignment/>
    </xf>
    <xf numFmtId="0" fontId="0" fillId="27" borderId="0" xfId="0" applyFill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23" xfId="0" applyFont="1" applyBorder="1" applyAlignment="1">
      <alignment/>
    </xf>
    <xf numFmtId="0" fontId="3" fillId="0" borderId="16" xfId="0" applyFont="1" applyBorder="1" applyAlignment="1">
      <alignment/>
    </xf>
    <xf numFmtId="44" fontId="3" fillId="0" borderId="31" xfId="45" applyFont="1" applyBorder="1" applyAlignment="1">
      <alignment/>
    </xf>
    <xf numFmtId="3" fontId="7" fillId="16" borderId="0" xfId="0" applyNumberFormat="1" applyFont="1" applyFill="1" applyBorder="1" applyAlignment="1">
      <alignment/>
    </xf>
    <xf numFmtId="3" fontId="7" fillId="16" borderId="16" xfId="0" applyNumberFormat="1" applyFont="1" applyFill="1" applyBorder="1" applyAlignment="1">
      <alignment/>
    </xf>
    <xf numFmtId="0" fontId="7" fillId="0" borderId="17" xfId="0" applyFont="1" applyBorder="1" applyAlignment="1">
      <alignment/>
    </xf>
    <xf numFmtId="10" fontId="7" fillId="16" borderId="0" xfId="53" applyNumberFormat="1" applyFont="1" applyFill="1" applyAlignment="1">
      <alignment/>
    </xf>
    <xf numFmtId="10" fontId="7" fillId="16" borderId="16" xfId="0" applyNumberFormat="1" applyFont="1" applyFill="1" applyBorder="1" applyAlignment="1">
      <alignment/>
    </xf>
    <xf numFmtId="1" fontId="7" fillId="16" borderId="18" xfId="0" applyNumberFormat="1" applyFont="1" applyFill="1" applyBorder="1" applyAlignment="1">
      <alignment horizontal="center"/>
    </xf>
    <xf numFmtId="1" fontId="7" fillId="16" borderId="16" xfId="0" applyNumberFormat="1" applyFont="1" applyFill="1" applyBorder="1" applyAlignment="1">
      <alignment horizontal="center"/>
    </xf>
    <xf numFmtId="10" fontId="7" fillId="0" borderId="0" xfId="0" applyNumberFormat="1" applyFont="1" applyAlignment="1">
      <alignment/>
    </xf>
    <xf numFmtId="10" fontId="7" fillId="0" borderId="0" xfId="53" applyNumberFormat="1" applyFont="1" applyAlignment="1">
      <alignment/>
    </xf>
    <xf numFmtId="10" fontId="7" fillId="0" borderId="16" xfId="0" applyNumberFormat="1" applyFont="1" applyBorder="1" applyAlignment="1">
      <alignment/>
    </xf>
    <xf numFmtId="10" fontId="7" fillId="0" borderId="16" xfId="53" applyNumberFormat="1" applyFont="1" applyBorder="1" applyAlignment="1">
      <alignment/>
    </xf>
    <xf numFmtId="0" fontId="7" fillId="0" borderId="0" xfId="0" applyFont="1" applyAlignment="1">
      <alignment/>
    </xf>
    <xf numFmtId="0" fontId="3" fillId="16" borderId="0" xfId="0" applyFont="1" applyFill="1" applyAlignment="1">
      <alignment/>
    </xf>
    <xf numFmtId="44" fontId="3" fillId="16" borderId="0" xfId="0" applyNumberFormat="1" applyFont="1" applyFill="1" applyAlignment="1">
      <alignment/>
    </xf>
    <xf numFmtId="44" fontId="7" fillId="0" borderId="0" xfId="0" applyNumberFormat="1" applyFont="1" applyBorder="1" applyAlignment="1">
      <alignment/>
    </xf>
    <xf numFmtId="44" fontId="7" fillId="0" borderId="16" xfId="0" applyNumberFormat="1" applyFont="1" applyBorder="1" applyAlignment="1">
      <alignment/>
    </xf>
    <xf numFmtId="44" fontId="3" fillId="0" borderId="16" xfId="0" applyNumberFormat="1" applyFont="1" applyBorder="1" applyAlignment="1">
      <alignment/>
    </xf>
    <xf numFmtId="44" fontId="3" fillId="0" borderId="0" xfId="0" applyNumberFormat="1" applyFont="1" applyBorder="1" applyAlignment="1">
      <alignment/>
    </xf>
    <xf numFmtId="44" fontId="7" fillId="0" borderId="0" xfId="0" applyNumberFormat="1" applyFont="1" applyAlignment="1">
      <alignment/>
    </xf>
    <xf numFmtId="44" fontId="3" fillId="0" borderId="24" xfId="0" applyNumberFormat="1" applyFont="1" applyBorder="1" applyAlignment="1">
      <alignment/>
    </xf>
    <xf numFmtId="0" fontId="7" fillId="0" borderId="25" xfId="0" applyFont="1" applyBorder="1" applyAlignment="1">
      <alignment/>
    </xf>
    <xf numFmtId="44" fontId="3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14" fontId="7" fillId="26" borderId="32" xfId="0" applyNumberFormat="1" applyFont="1" applyFill="1" applyBorder="1" applyAlignment="1">
      <alignment/>
    </xf>
    <xf numFmtId="0" fontId="7" fillId="26" borderId="33" xfId="0" applyFont="1" applyFill="1" applyBorder="1" applyAlignment="1">
      <alignment/>
    </xf>
    <xf numFmtId="44" fontId="7" fillId="26" borderId="34" xfId="45" applyFont="1" applyFill="1" applyBorder="1" applyAlignment="1">
      <alignment/>
    </xf>
    <xf numFmtId="0" fontId="7" fillId="26" borderId="34" xfId="0" applyFont="1" applyFill="1" applyBorder="1" applyAlignment="1">
      <alignment/>
    </xf>
    <xf numFmtId="14" fontId="7" fillId="26" borderId="34" xfId="0" applyNumberFormat="1" applyFont="1" applyFill="1" applyBorder="1" applyAlignment="1">
      <alignment/>
    </xf>
    <xf numFmtId="44" fontId="7" fillId="26" borderId="35" xfId="45" applyFont="1" applyFill="1" applyBorder="1" applyAlignment="1">
      <alignment/>
    </xf>
    <xf numFmtId="0" fontId="7" fillId="0" borderId="0" xfId="0" applyFont="1" applyAlignment="1">
      <alignment/>
    </xf>
    <xf numFmtId="14" fontId="7" fillId="26" borderId="33" xfId="0" applyNumberFormat="1" applyFont="1" applyFill="1" applyBorder="1" applyAlignment="1">
      <alignment/>
    </xf>
    <xf numFmtId="10" fontId="7" fillId="0" borderId="0" xfId="0" applyNumberFormat="1" applyFont="1" applyAlignment="1">
      <alignment/>
    </xf>
    <xf numFmtId="44" fontId="7" fillId="0" borderId="0" xfId="0" applyNumberFormat="1" applyFont="1" applyAlignment="1">
      <alignment/>
    </xf>
    <xf numFmtId="0" fontId="0" fillId="0" borderId="21" xfId="0" applyBorder="1" applyAlignment="1">
      <alignment horizontal="center"/>
    </xf>
    <xf numFmtId="0" fontId="7" fillId="0" borderId="36" xfId="0" applyFont="1" applyBorder="1" applyAlignment="1">
      <alignment/>
    </xf>
    <xf numFmtId="44" fontId="0" fillId="0" borderId="22" xfId="45" applyBorder="1" applyAlignment="1">
      <alignment horizontal="center"/>
    </xf>
    <xf numFmtId="9" fontId="7" fillId="0" borderId="33" xfId="0" applyNumberFormat="1" applyFont="1" applyBorder="1" applyAlignment="1">
      <alignment/>
    </xf>
    <xf numFmtId="0" fontId="0" fillId="0" borderId="23" xfId="0" applyBorder="1" applyAlignment="1">
      <alignment horizontal="center"/>
    </xf>
    <xf numFmtId="9" fontId="7" fillId="0" borderId="31" xfId="0" applyNumberFormat="1" applyFont="1" applyBorder="1" applyAlignment="1">
      <alignment/>
    </xf>
    <xf numFmtId="44" fontId="0" fillId="0" borderId="0" xfId="45" applyAlignment="1">
      <alignment/>
    </xf>
    <xf numFmtId="0" fontId="38" fillId="0" borderId="0" xfId="0" applyFont="1" applyAlignment="1">
      <alignment/>
    </xf>
    <xf numFmtId="10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2" fillId="25" borderId="0" xfId="0" applyFont="1" applyFill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26" borderId="19" xfId="0" applyFont="1" applyFill="1" applyBorder="1" applyAlignment="1">
      <alignment horizontal="center"/>
    </xf>
    <xf numFmtId="0" fontId="4" fillId="26" borderId="20" xfId="0" applyFont="1" applyFill="1" applyBorder="1" applyAlignment="1">
      <alignment horizontal="center"/>
    </xf>
    <xf numFmtId="0" fontId="5" fillId="25" borderId="22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0" xfId="0" applyFont="1" applyBorder="1" applyAlignment="1">
      <alignment horizontal="center" vertical="justify" wrapText="1"/>
    </xf>
    <xf numFmtId="0" fontId="4" fillId="0" borderId="37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justify" wrapText="1"/>
    </xf>
    <xf numFmtId="0" fontId="4" fillId="0" borderId="12" xfId="0" applyFont="1" applyBorder="1" applyAlignment="1">
      <alignment horizontal="center" vertical="justify" wrapText="1"/>
    </xf>
    <xf numFmtId="0" fontId="4" fillId="0" borderId="0" xfId="0" applyFont="1" applyBorder="1" applyAlignment="1">
      <alignment horizontal="center" vertical="justify" wrapText="1"/>
    </xf>
    <xf numFmtId="0" fontId="4" fillId="0" borderId="13" xfId="0" applyFont="1" applyBorder="1" applyAlignment="1">
      <alignment horizontal="center" vertical="justify" wrapText="1"/>
    </xf>
    <xf numFmtId="0" fontId="39" fillId="0" borderId="21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9" fillId="0" borderId="36" xfId="0" applyFont="1" applyBorder="1" applyAlignment="1">
      <alignment horizontal="center"/>
    </xf>
    <xf numFmtId="0" fontId="0" fillId="0" borderId="0" xfId="0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265"/>
          <c:w val="0.97475"/>
          <c:h val="0.94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1"/>
            <c:spPr>
              <a:ln w="12700">
                <a:solidFill>
                  <a:srgbClr val="000080"/>
                </a:solidFill>
              </a:ln>
            </c:spPr>
            <c:marker>
              <c:symbol val="x"/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80"/>
                </a:solidFill>
              </a:ln>
            </c:spPr>
            <c:marker>
              <c:symbol val="circle"/>
              <c:size val="10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Calculos!$H$6:$H$9</c:f>
              <c:strCache>
                <c:ptCount val="4"/>
                <c:pt idx="0">
                  <c:v>39886</c:v>
                </c:pt>
                <c:pt idx="1">
                  <c:v>35430</c:v>
                </c:pt>
                <c:pt idx="2">
                  <c:v>38736</c:v>
                </c:pt>
                <c:pt idx="3">
                  <c:v>41363</c:v>
                </c:pt>
              </c:strCache>
            </c:strRef>
          </c:cat>
          <c:val>
            <c:numRef>
              <c:f>Calculos!$I$6:$I$9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143512.8</c:v>
                </c:pt>
              </c:numCache>
            </c:numRef>
          </c:val>
          <c:smooth val="0"/>
        </c:ser>
        <c:marker val="1"/>
        <c:axId val="1879852"/>
        <c:axId val="16918669"/>
      </c:lineChart>
      <c:dateAx>
        <c:axId val="187985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18669"/>
        <c:crosses val="autoZero"/>
        <c:auto val="0"/>
        <c:baseTimeUnit val="years"/>
        <c:majorUnit val="2"/>
        <c:majorTimeUnit val="years"/>
        <c:minorUnit val="1"/>
        <c:minorTimeUnit val="years"/>
        <c:noMultiLvlLbl val="0"/>
      </c:dateAx>
      <c:valAx>
        <c:axId val="169186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98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IMPUESTO A PAGAR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465"/>
          <c:w val="0.6895"/>
          <c:h val="0.82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Calculos!$K$58</c:f>
              <c:strCache>
                <c:ptCount val="1"/>
                <c:pt idx="0">
                  <c:v>Impuesto derivado Régimen General</c:v>
                </c:pt>
              </c:strCache>
            </c:strRef>
          </c:tx>
          <c:spPr>
            <a:gradFill rotWithShape="1">
              <a:gsLst>
                <a:gs pos="0">
                  <a:srgbClr val="969696"/>
                </a:gs>
                <a:gs pos="50000">
                  <a:srgbClr val="D1D1D1"/>
                </a:gs>
                <a:gs pos="100000">
                  <a:srgbClr val="96969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Calculos!$L$58</c:f>
              <c:numCache>
                <c:ptCount val="1"/>
                <c:pt idx="0">
                  <c:v>38028.456</c:v>
                </c:pt>
              </c:numCache>
            </c:numRef>
          </c:val>
        </c:ser>
        <c:ser>
          <c:idx val="1"/>
          <c:order val="1"/>
          <c:tx>
            <c:strRef>
              <c:f>Calculos!$K$59</c:f>
              <c:strCache>
                <c:ptCount val="1"/>
                <c:pt idx="0">
                  <c:v>Impuesto derivado Régimen Transitorio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800000"/>
                  </a:gs>
                  <a:gs pos="50000">
                    <a:srgbClr val="D4A9A9"/>
                  </a:gs>
                  <a:gs pos="100000">
                    <a:srgbClr val="8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Calculos!$L$59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18050294"/>
        <c:axId val="28234919"/>
      </c:barChart>
      <c:catAx>
        <c:axId val="18050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28234919"/>
        <c:crosses val="autoZero"/>
        <c:auto val="1"/>
        <c:lblOffset val="100"/>
        <c:tickLblSkip val="1"/>
        <c:noMultiLvlLbl val="0"/>
      </c:catAx>
      <c:valAx>
        <c:axId val="2823491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502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35975"/>
          <c:w val="0.2495"/>
          <c:h val="0.2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GANANCIA PATRIMONIAL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5"/>
          <c:y val="0.347"/>
          <c:w val="0.5465"/>
          <c:h val="0.45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Calculos!$L$49:$L$51</c:f>
              <c:strCache>
                <c:ptCount val="3"/>
                <c:pt idx="0">
                  <c:v>Ganancia Régimen General</c:v>
                </c:pt>
                <c:pt idx="1">
                  <c:v>Ganancia Sujeta Regimen Transitorio</c:v>
                </c:pt>
                <c:pt idx="2">
                  <c:v>Ganancia EXENTA Régimen Transitorio</c:v>
                </c:pt>
              </c:strCache>
            </c:strRef>
          </c:cat>
          <c:val>
            <c:numRef>
              <c:f>Calculos!$M$49:$M$51</c:f>
              <c:numCache>
                <c:ptCount val="3"/>
                <c:pt idx="0">
                  <c:v>143512.8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725"/>
          <c:y val="0.35775"/>
          <c:w val="0.336"/>
          <c:h val="0.4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4275"/>
          <c:w val="0.82425"/>
          <c:h val="0.914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Calculos!$H$6:$H$9</c:f>
              <c:strCache>
                <c:ptCount val="4"/>
                <c:pt idx="0">
                  <c:v>39886</c:v>
                </c:pt>
                <c:pt idx="1">
                  <c:v>35430</c:v>
                </c:pt>
                <c:pt idx="2">
                  <c:v>38736</c:v>
                </c:pt>
                <c:pt idx="3">
                  <c:v>41363</c:v>
                </c:pt>
              </c:strCache>
            </c:strRef>
          </c:cat>
          <c:val>
            <c:numRef>
              <c:f>Calculos!$I$6:$I$9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143512.8</c:v>
                </c:pt>
              </c:numCache>
            </c:numRef>
          </c:val>
          <c:smooth val="0"/>
        </c:ser>
        <c:marker val="1"/>
        <c:axId val="52787680"/>
        <c:axId val="5327073"/>
      </c:lineChart>
      <c:dateAx>
        <c:axId val="5278768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7073"/>
        <c:crosses val="autoZero"/>
        <c:auto val="0"/>
        <c:baseTimeUnit val="years"/>
        <c:majorUnit val="1"/>
        <c:majorTimeUnit val="years"/>
        <c:minorUnit val="1"/>
        <c:minorTimeUnit val="years"/>
        <c:noMultiLvlLbl val="0"/>
      </c:dateAx>
      <c:valAx>
        <c:axId val="53270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876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225"/>
          <c:y val="0.39325"/>
          <c:w val="0.149"/>
          <c:h val="0.08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345"/>
          <c:w val="0.777"/>
          <c:h val="0.93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Calculos!$H$6</c:f>
              <c:strCache>
                <c:ptCount val="1"/>
                <c:pt idx="0">
                  <c:v>14/03/2009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Calculos!$J$6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Calculos!$H$7</c:f>
              <c:strCache>
                <c:ptCount val="1"/>
                <c:pt idx="0">
                  <c:v>31/12/1996</c:v>
                </c:pt>
              </c:strCache>
            </c:strRef>
          </c:tx>
          <c:spPr>
            <a:gradFill rotWithShape="1">
              <a:gsLst>
                <a:gs pos="0">
                  <a:srgbClr val="008000"/>
                </a:gs>
                <a:gs pos="50000">
                  <a:srgbClr val="FFFFFF"/>
                </a:gs>
                <a:gs pos="100000">
                  <a:srgbClr val="008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Calculos!$J$7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Calculos!$H$8</c:f>
              <c:strCache>
                <c:ptCount val="1"/>
                <c:pt idx="0">
                  <c:v>19/01/2006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100000">
                  <a:srgbClr val="CCFF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Calculos!$J$8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Calculos!$H$9</c:f>
              <c:strCache>
                <c:ptCount val="1"/>
                <c:pt idx="0">
                  <c:v>30/03/2013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50000">
                  <a:srgbClr val="FFFFFF"/>
                </a:gs>
                <a:gs pos="100000">
                  <a:srgbClr val="8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Calculos!$J$9</c:f>
              <c:numCache>
                <c:ptCount val="1"/>
                <c:pt idx="0">
                  <c:v>143512.8</c:v>
                </c:pt>
              </c:numCache>
            </c:numRef>
          </c:val>
        </c:ser>
        <c:overlap val="100"/>
        <c:axId val="47943658"/>
        <c:axId val="28839739"/>
      </c:barChart>
      <c:catAx>
        <c:axId val="47943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39739"/>
        <c:crosses val="autoZero"/>
        <c:auto val="1"/>
        <c:lblOffset val="100"/>
        <c:tickLblSkip val="1"/>
        <c:noMultiLvlLbl val="0"/>
      </c:catAx>
      <c:valAx>
        <c:axId val="288397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436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725"/>
          <c:y val="0.301"/>
          <c:w val="0.17375"/>
          <c:h val="0.31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1"/>
          <c:y val="0.32275"/>
          <c:w val="0.4165"/>
          <c:h val="0.35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0000"/>
                  </a:gs>
                  <a:gs pos="100000">
                    <a:srgbClr val="D7AEAE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969696"/>
                  </a:gs>
                  <a:gs pos="100000">
                    <a:srgbClr val="FFFFFF"/>
                  </a:gs>
                </a:gsLst>
                <a:lin ang="189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Calculos!$L$49:$L$51</c:f>
              <c:strCache>
                <c:ptCount val="3"/>
                <c:pt idx="0">
                  <c:v>Ganancia Régimen General</c:v>
                </c:pt>
                <c:pt idx="1">
                  <c:v>Ganancia Sujeta Regimen Transitorio</c:v>
                </c:pt>
                <c:pt idx="2">
                  <c:v>Ganancia EXENTA Régimen Transitorio</c:v>
                </c:pt>
              </c:strCache>
            </c:strRef>
          </c:cat>
          <c:val>
            <c:numRef>
              <c:f>Calculos!$M$49:$M$51</c:f>
              <c:numCache>
                <c:ptCount val="3"/>
                <c:pt idx="0">
                  <c:v>143512.8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385"/>
          <c:w val="0.6865"/>
          <c:h val="0.9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Calculos!$K$58</c:f>
              <c:strCache>
                <c:ptCount val="1"/>
                <c:pt idx="0">
                  <c:v>Impuesto derivado Régimen General</c:v>
                </c:pt>
              </c:strCache>
            </c:strRef>
          </c:tx>
          <c:spPr>
            <a:gradFill rotWithShape="1">
              <a:gsLst>
                <a:gs pos="0">
                  <a:srgbClr val="969696"/>
                </a:gs>
                <a:gs pos="50000">
                  <a:srgbClr val="D1D1D1"/>
                </a:gs>
                <a:gs pos="100000">
                  <a:srgbClr val="96969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Calculos!$L$58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Calculos!$K$59</c:f>
              <c:strCache>
                <c:ptCount val="1"/>
                <c:pt idx="0">
                  <c:v>Impuesto derivado Régimen Transitorio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800000"/>
                  </a:gs>
                  <a:gs pos="50000">
                    <a:srgbClr val="D4A9A9"/>
                  </a:gs>
                  <a:gs pos="100000">
                    <a:srgbClr val="8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Calculos!$L$59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58231060"/>
        <c:axId val="54317493"/>
      </c:barChart>
      <c:catAx>
        <c:axId val="58231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17493"/>
        <c:crosses val="autoZero"/>
        <c:auto val="1"/>
        <c:lblOffset val="100"/>
        <c:tickLblSkip val="1"/>
        <c:noMultiLvlLbl val="0"/>
      </c:catAx>
      <c:valAx>
        <c:axId val="543174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310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5"/>
          <c:y val="0.28175"/>
          <c:w val="0.26725"/>
          <c:h val="0.28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0</xdr:row>
      <xdr:rowOff>0</xdr:rowOff>
    </xdr:from>
    <xdr:to>
      <xdr:col>15</xdr:col>
      <xdr:colOff>466725</xdr:colOff>
      <xdr:row>19</xdr:row>
      <xdr:rowOff>66675</xdr:rowOff>
    </xdr:to>
    <xdr:graphicFrame>
      <xdr:nvGraphicFramePr>
        <xdr:cNvPr id="1" name="Chart 1"/>
        <xdr:cNvGraphicFramePr/>
      </xdr:nvGraphicFramePr>
      <xdr:xfrm>
        <a:off x="9001125" y="0"/>
        <a:ext cx="57816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238125</xdr:colOff>
      <xdr:row>36</xdr:row>
      <xdr:rowOff>9525</xdr:rowOff>
    </xdr:from>
    <xdr:to>
      <xdr:col>15</xdr:col>
      <xdr:colOff>542925</xdr:colOff>
      <xdr:row>50</xdr:row>
      <xdr:rowOff>95250</xdr:rowOff>
    </xdr:to>
    <xdr:graphicFrame>
      <xdr:nvGraphicFramePr>
        <xdr:cNvPr id="2" name="Chart 4"/>
        <xdr:cNvGraphicFramePr/>
      </xdr:nvGraphicFramePr>
      <xdr:xfrm>
        <a:off x="8972550" y="6696075"/>
        <a:ext cx="5886450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28575</xdr:colOff>
      <xdr:row>20</xdr:row>
      <xdr:rowOff>0</xdr:rowOff>
    </xdr:from>
    <xdr:to>
      <xdr:col>15</xdr:col>
      <xdr:colOff>533400</xdr:colOff>
      <xdr:row>35</xdr:row>
      <xdr:rowOff>114300</xdr:rowOff>
    </xdr:to>
    <xdr:graphicFrame>
      <xdr:nvGraphicFramePr>
        <xdr:cNvPr id="3" name="Chart 7"/>
        <xdr:cNvGraphicFramePr/>
      </xdr:nvGraphicFramePr>
      <xdr:xfrm>
        <a:off x="9010650" y="3790950"/>
        <a:ext cx="583882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11</xdr:row>
      <xdr:rowOff>66675</xdr:rowOff>
    </xdr:from>
    <xdr:to>
      <xdr:col>13</xdr:col>
      <xdr:colOff>123825</xdr:colOff>
      <xdr:row>25</xdr:row>
      <xdr:rowOff>114300</xdr:rowOff>
    </xdr:to>
    <xdr:graphicFrame>
      <xdr:nvGraphicFramePr>
        <xdr:cNvPr id="1" name="Chart 1"/>
        <xdr:cNvGraphicFramePr/>
      </xdr:nvGraphicFramePr>
      <xdr:xfrm>
        <a:off x="6477000" y="1847850"/>
        <a:ext cx="5457825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390525</xdr:colOff>
      <xdr:row>26</xdr:row>
      <xdr:rowOff>123825</xdr:rowOff>
    </xdr:from>
    <xdr:to>
      <xdr:col>13</xdr:col>
      <xdr:colOff>85725</xdr:colOff>
      <xdr:row>44</xdr:row>
      <xdr:rowOff>47625</xdr:rowOff>
    </xdr:to>
    <xdr:graphicFrame>
      <xdr:nvGraphicFramePr>
        <xdr:cNvPr id="2" name="Chart 3"/>
        <xdr:cNvGraphicFramePr/>
      </xdr:nvGraphicFramePr>
      <xdr:xfrm>
        <a:off x="6496050" y="4333875"/>
        <a:ext cx="540067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428625</xdr:colOff>
      <xdr:row>45</xdr:row>
      <xdr:rowOff>66675</xdr:rowOff>
    </xdr:from>
    <xdr:to>
      <xdr:col>23</xdr:col>
      <xdr:colOff>723900</xdr:colOff>
      <xdr:row>67</xdr:row>
      <xdr:rowOff>38100</xdr:rowOff>
    </xdr:to>
    <xdr:graphicFrame>
      <xdr:nvGraphicFramePr>
        <xdr:cNvPr id="3" name="Chart 4"/>
        <xdr:cNvGraphicFramePr/>
      </xdr:nvGraphicFramePr>
      <xdr:xfrm>
        <a:off x="12239625" y="7353300"/>
        <a:ext cx="7372350" cy="3533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200025</xdr:colOff>
      <xdr:row>62</xdr:row>
      <xdr:rowOff>0</xdr:rowOff>
    </xdr:from>
    <xdr:to>
      <xdr:col>12</xdr:col>
      <xdr:colOff>295275</xdr:colOff>
      <xdr:row>77</xdr:row>
      <xdr:rowOff>123825</xdr:rowOff>
    </xdr:to>
    <xdr:graphicFrame>
      <xdr:nvGraphicFramePr>
        <xdr:cNvPr id="4" name="Chart 5"/>
        <xdr:cNvGraphicFramePr/>
      </xdr:nvGraphicFramePr>
      <xdr:xfrm>
        <a:off x="6305550" y="10039350"/>
        <a:ext cx="5038725" cy="2552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28575</xdr:colOff>
      <xdr:row>90</xdr:row>
      <xdr:rowOff>95250</xdr:rowOff>
    </xdr:from>
    <xdr:to>
      <xdr:col>17</xdr:col>
      <xdr:colOff>647700</xdr:colOff>
      <xdr:row>92</xdr:row>
      <xdr:rowOff>28575</xdr:rowOff>
    </xdr:to>
    <xdr:sp>
      <xdr:nvSpPr>
        <xdr:cNvPr id="5" name="AutoShape 8"/>
        <xdr:cNvSpPr>
          <a:spLocks/>
        </xdr:cNvSpPr>
      </xdr:nvSpPr>
      <xdr:spPr>
        <a:xfrm flipH="1">
          <a:off x="14125575" y="14668500"/>
          <a:ext cx="1381125" cy="266700"/>
        </a:xfrm>
        <a:prstGeom prst="rtTriangl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752475</xdr:colOff>
      <xdr:row>87</xdr:row>
      <xdr:rowOff>0</xdr:rowOff>
    </xdr:from>
    <xdr:to>
      <xdr:col>13</xdr:col>
      <xdr:colOff>0</xdr:colOff>
      <xdr:row>98</xdr:row>
      <xdr:rowOff>142875</xdr:rowOff>
    </xdr:to>
    <xdr:sp>
      <xdr:nvSpPr>
        <xdr:cNvPr id="6" name="Line 10"/>
        <xdr:cNvSpPr>
          <a:spLocks/>
        </xdr:cNvSpPr>
      </xdr:nvSpPr>
      <xdr:spPr>
        <a:xfrm>
          <a:off x="11801475" y="14087475"/>
          <a:ext cx="9525" cy="2114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0"/>
  <sheetViews>
    <sheetView tabSelected="1" zoomScalePageLayoutView="0" workbookViewId="0" topLeftCell="A1">
      <selection activeCell="C22" sqref="C22"/>
    </sheetView>
  </sheetViews>
  <sheetFormatPr defaultColWidth="11.421875" defaultRowHeight="12.75"/>
  <cols>
    <col min="1" max="1" width="1.57421875" style="0" customWidth="1"/>
    <col min="2" max="2" width="23.421875" style="0" customWidth="1"/>
    <col min="3" max="3" width="18.7109375" style="91" customWidth="1"/>
    <col min="4" max="4" width="1.7109375" style="0" customWidth="1"/>
    <col min="5" max="5" width="55.421875" style="0" customWidth="1"/>
    <col min="7" max="7" width="18.7109375" style="0" customWidth="1"/>
    <col min="8" max="8" width="3.7109375" style="0" customWidth="1"/>
  </cols>
  <sheetData>
    <row r="1" spans="2:15" ht="18.75" thickBot="1">
      <c r="B1" s="108" t="s">
        <v>47</v>
      </c>
      <c r="C1" s="109"/>
      <c r="E1" s="110" t="s">
        <v>48</v>
      </c>
      <c r="F1" s="111"/>
      <c r="G1" s="111"/>
      <c r="I1" s="104" t="s">
        <v>51</v>
      </c>
      <c r="J1" s="104"/>
      <c r="K1" s="104"/>
      <c r="L1" s="104"/>
      <c r="M1" s="104"/>
      <c r="N1" s="104"/>
      <c r="O1" s="104"/>
    </row>
    <row r="2" spans="2:7" ht="6.75" customHeight="1" thickBot="1">
      <c r="B2" s="47"/>
      <c r="C2" s="84"/>
      <c r="E2" s="30"/>
      <c r="F2" s="30"/>
      <c r="G2" s="30"/>
    </row>
    <row r="3" spans="2:7" ht="15">
      <c r="B3" s="42" t="s">
        <v>18</v>
      </c>
      <c r="C3" s="85">
        <v>39886</v>
      </c>
      <c r="E3" s="34"/>
      <c r="F3" s="34"/>
      <c r="G3" s="34"/>
    </row>
    <row r="4" spans="2:7" ht="15">
      <c r="B4" s="43"/>
      <c r="C4" s="92"/>
      <c r="E4" s="32" t="s">
        <v>29</v>
      </c>
      <c r="F4" s="32"/>
      <c r="G4" s="62">
        <f>+Calculos!D12</f>
        <v>1476</v>
      </c>
    </row>
    <row r="5" spans="2:7" ht="15.75" thickBot="1">
      <c r="B5" s="44" t="s">
        <v>19</v>
      </c>
      <c r="C5" s="87">
        <v>12000</v>
      </c>
      <c r="E5" s="33" t="s">
        <v>30</v>
      </c>
      <c r="F5" s="33"/>
      <c r="G5" s="63">
        <f>IF(+Calculos!D16&gt;0,+Calculos!D16,0)</f>
        <v>0</v>
      </c>
    </row>
    <row r="6" spans="2:7" ht="15.75" thickBot="1">
      <c r="B6" s="44" t="s">
        <v>20</v>
      </c>
      <c r="C6" s="87">
        <v>0</v>
      </c>
      <c r="E6" s="31"/>
      <c r="F6" s="31"/>
      <c r="G6" s="64"/>
    </row>
    <row r="7" spans="2:7" ht="15">
      <c r="B7" s="43"/>
      <c r="C7" s="86"/>
      <c r="E7" s="34" t="s">
        <v>33</v>
      </c>
      <c r="F7" s="34"/>
      <c r="G7" s="65">
        <f>+G5/G4</f>
        <v>0</v>
      </c>
    </row>
    <row r="8" spans="2:7" ht="15.75" thickBot="1">
      <c r="B8" s="44" t="s">
        <v>21</v>
      </c>
      <c r="C8" s="86"/>
      <c r="E8" s="35" t="s">
        <v>34</v>
      </c>
      <c r="F8" s="35"/>
      <c r="G8" s="66">
        <f>1-G7</f>
        <v>1</v>
      </c>
    </row>
    <row r="9" spans="2:7" ht="15.75" thickBot="1">
      <c r="B9" s="45" t="s">
        <v>23</v>
      </c>
      <c r="C9" s="88">
        <v>1</v>
      </c>
      <c r="E9" s="31"/>
      <c r="F9" s="31"/>
      <c r="G9" s="64"/>
    </row>
    <row r="10" spans="2:7" ht="15">
      <c r="B10" s="45" t="s">
        <v>24</v>
      </c>
      <c r="C10" s="88">
        <v>0</v>
      </c>
      <c r="E10" s="36" t="s">
        <v>31</v>
      </c>
      <c r="F10" s="36"/>
      <c r="G10" s="67">
        <f>IF(+DATOS!F19&lt;=1996,+Calculos!D21,0)</f>
        <v>0</v>
      </c>
    </row>
    <row r="11" spans="2:7" ht="15.75" thickBot="1">
      <c r="B11" s="45" t="s">
        <v>25</v>
      </c>
      <c r="C11" s="88">
        <v>0</v>
      </c>
      <c r="E11" s="35" t="s">
        <v>32</v>
      </c>
      <c r="F11" s="35"/>
      <c r="G11" s="68">
        <f>IF(+G10-2&gt;0,+G10-2,0)</f>
        <v>0</v>
      </c>
    </row>
    <row r="12" spans="2:3" ht="15">
      <c r="B12" s="43"/>
      <c r="C12" s="86"/>
    </row>
    <row r="13" spans="2:3" ht="15">
      <c r="B13" s="43"/>
      <c r="C13" s="86"/>
    </row>
    <row r="14" spans="2:7" ht="15">
      <c r="B14" s="44" t="s">
        <v>26</v>
      </c>
      <c r="C14" s="89">
        <v>41363</v>
      </c>
      <c r="E14" s="105" t="s">
        <v>36</v>
      </c>
      <c r="F14" s="105"/>
      <c r="G14" s="105"/>
    </row>
    <row r="15" spans="2:7" ht="15">
      <c r="B15" s="44"/>
      <c r="C15" s="92"/>
      <c r="E15" t="s">
        <v>22</v>
      </c>
      <c r="F15" s="69">
        <f>+Calculos!D24</f>
        <v>0.1111</v>
      </c>
      <c r="G15" s="70">
        <f>IF(G11&gt;0,IF((1-(G11*F15))*C9&lt;0,0,(1-(G11*F15))*C9),1)</f>
        <v>1</v>
      </c>
    </row>
    <row r="16" spans="2:7" ht="15">
      <c r="B16" s="44" t="s">
        <v>27</v>
      </c>
      <c r="C16" s="87">
        <v>156000</v>
      </c>
      <c r="E16" t="s">
        <v>12</v>
      </c>
      <c r="F16" s="69">
        <f>+Calculos!D26</f>
        <v>0.1428</v>
      </c>
      <c r="G16" s="70">
        <f>IF(G11&gt;0,IF((1-(G11*F16))*C10&lt;0,0,(1-(G11*F16))*C10),1)</f>
        <v>1</v>
      </c>
    </row>
    <row r="17" spans="2:7" ht="15.75" thickBot="1">
      <c r="B17" s="46" t="s">
        <v>57</v>
      </c>
      <c r="C17" s="90"/>
      <c r="E17" s="30" t="s">
        <v>35</v>
      </c>
      <c r="F17" s="71">
        <f>+Calculos!D25</f>
        <v>0.25</v>
      </c>
      <c r="G17" s="72">
        <f>IF(G11&gt;0,IF((1-(G11*F17))*C11&lt;0,0,(1-(G11*F17))*C11),1)</f>
        <v>1</v>
      </c>
    </row>
    <row r="18" spans="6:7" ht="15">
      <c r="F18" s="73"/>
      <c r="G18" s="73"/>
    </row>
    <row r="19" spans="5:7" ht="14.25" customHeight="1">
      <c r="E19" s="37" t="s">
        <v>37</v>
      </c>
      <c r="F19" s="74">
        <f>YEAR(C3)</f>
        <v>2009</v>
      </c>
      <c r="G19" s="75">
        <f>IF(+C9=1,+Calculos!D37,+C5+C6)</f>
        <v>12487.199999999999</v>
      </c>
    </row>
    <row r="20" ht="14.25" customHeight="1"/>
    <row r="21" spans="5:7" ht="14.25" customHeight="1">
      <c r="E21" s="118" t="str">
        <f>IF(G15+G16+G17&gt;1,"REGIMEN TRANSITORIO SIN EFECTOS = REGIMEN GENERAL        CALCULO A EFECTOS INFORMATIVOS","")</f>
        <v>REGIMEN TRANSITORIO SIN EFECTOS = REGIMEN GENERAL        CALCULO A EFECTOS INFORMATIVOS</v>
      </c>
      <c r="F21" s="119"/>
      <c r="G21" s="120"/>
    </row>
    <row r="22" spans="5:7" ht="14.25" customHeight="1">
      <c r="E22" s="121"/>
      <c r="F22" s="122"/>
      <c r="G22" s="123"/>
    </row>
    <row r="23" spans="5:7" ht="14.25" customHeight="1">
      <c r="E23" s="121"/>
      <c r="F23" s="122"/>
      <c r="G23" s="123"/>
    </row>
    <row r="24" spans="5:7" ht="14.25" customHeight="1">
      <c r="E24" s="112" t="s">
        <v>59</v>
      </c>
      <c r="F24" s="113"/>
      <c r="G24" s="114"/>
    </row>
    <row r="25" spans="5:7" ht="14.25" customHeight="1">
      <c r="E25" s="115" t="s">
        <v>58</v>
      </c>
      <c r="F25" s="116"/>
      <c r="G25" s="117"/>
    </row>
    <row r="26" ht="14.25" customHeight="1">
      <c r="G26" s="9"/>
    </row>
    <row r="27" spans="5:7" ht="14.25" customHeight="1">
      <c r="E27" s="27" t="s">
        <v>42</v>
      </c>
      <c r="F27" s="27"/>
      <c r="G27" s="27"/>
    </row>
    <row r="28" ht="14.25" customHeight="1"/>
    <row r="29" spans="5:7" ht="14.25" customHeight="1">
      <c r="E29" s="29" t="s">
        <v>40</v>
      </c>
      <c r="F29" s="29"/>
      <c r="G29" s="76">
        <f>+C16-C17</f>
        <v>156000</v>
      </c>
    </row>
    <row r="30" spans="5:7" ht="14.25" customHeight="1" thickBot="1">
      <c r="E30" s="30" t="s">
        <v>14</v>
      </c>
      <c r="F30" s="30"/>
      <c r="G30" s="77">
        <f>-G19</f>
        <v>-12487.199999999999</v>
      </c>
    </row>
    <row r="31" spans="5:7" ht="14.25" customHeight="1" thickBot="1">
      <c r="E31" s="28" t="s">
        <v>41</v>
      </c>
      <c r="F31" s="28"/>
      <c r="G31" s="78">
        <f>+G29+G30</f>
        <v>143512.8</v>
      </c>
    </row>
    <row r="32" spans="5:7" ht="14.25" customHeight="1">
      <c r="E32" s="48"/>
      <c r="F32" s="48"/>
      <c r="G32" s="79"/>
    </row>
    <row r="33" spans="5:7" ht="14.25" customHeight="1">
      <c r="E33" s="49" t="s">
        <v>49</v>
      </c>
      <c r="G33" s="73"/>
    </row>
    <row r="34" ht="14.25" customHeight="1">
      <c r="G34" s="73"/>
    </row>
    <row r="35" spans="3:7" ht="14.25" customHeight="1">
      <c r="C35" s="94"/>
      <c r="E35" s="38" t="s">
        <v>43</v>
      </c>
      <c r="F35" s="38"/>
      <c r="G35" s="80">
        <f>+G8*G31</f>
        <v>143512.8</v>
      </c>
    </row>
    <row r="36" spans="3:7" ht="14.25" customHeight="1">
      <c r="C36" s="93"/>
      <c r="E36" s="38" t="s">
        <v>44</v>
      </c>
      <c r="F36" s="38"/>
      <c r="G36" s="80">
        <f>(+G15*G7*C9+G16*G7*C10+G17*G7*C11)*G31</f>
        <v>0</v>
      </c>
    </row>
    <row r="37" spans="3:7" ht="14.25" customHeight="1">
      <c r="C37" s="94"/>
      <c r="E37" s="50" t="s">
        <v>50</v>
      </c>
      <c r="F37" s="50"/>
      <c r="G37" s="81">
        <f>+G31-G36-G35</f>
        <v>0</v>
      </c>
    </row>
    <row r="38" spans="5:7" ht="14.25" customHeight="1">
      <c r="E38" s="51"/>
      <c r="F38" s="51"/>
      <c r="G38" s="82"/>
    </row>
    <row r="39" spans="5:7" ht="14.25" customHeight="1">
      <c r="E39" s="10" t="s">
        <v>45</v>
      </c>
      <c r="G39" s="83">
        <f>+G36+G35</f>
        <v>143512.8</v>
      </c>
    </row>
    <row r="40" spans="5:6" ht="18.75" customHeight="1" thickBot="1">
      <c r="E40" t="s">
        <v>64</v>
      </c>
      <c r="F40" s="103">
        <f>+G41/G39</f>
        <v>0.2649830259043096</v>
      </c>
    </row>
    <row r="41" spans="5:7" ht="21.75" customHeight="1" thickBot="1">
      <c r="E41" s="39" t="s">
        <v>46</v>
      </c>
      <c r="F41" s="40"/>
      <c r="G41" s="41">
        <f>IF(+G4&gt;365,+Calculos!F99,"NO APLICABLE")</f>
        <v>38028.456</v>
      </c>
    </row>
    <row r="42" ht="14.25" customHeight="1"/>
    <row r="43" ht="14.25" customHeight="1" thickBot="1"/>
    <row r="44" spans="2:7" ht="23.25" customHeight="1" thickBot="1">
      <c r="B44" s="106" t="s">
        <v>62</v>
      </c>
      <c r="C44" s="107"/>
      <c r="E44" s="124">
        <f>IF(G4&lt;365,+Calculos!B102,"")</f>
      </c>
      <c r="F44" s="125"/>
      <c r="G44" s="126"/>
    </row>
    <row r="45" spans="2:7" ht="23.25" customHeight="1" thickBot="1">
      <c r="B45" s="95" t="s">
        <v>60</v>
      </c>
      <c r="C45" s="96"/>
      <c r="E45" s="59"/>
      <c r="F45" s="60"/>
      <c r="G45" s="61"/>
    </row>
    <row r="46" spans="2:3" ht="15">
      <c r="B46" s="97">
        <v>6000</v>
      </c>
      <c r="C46" s="98">
        <v>0.21</v>
      </c>
    </row>
    <row r="47" spans="2:3" ht="15">
      <c r="B47" s="97">
        <v>24000</v>
      </c>
      <c r="C47" s="98">
        <v>0.25</v>
      </c>
    </row>
    <row r="48" spans="2:3" ht="15.75" thickBot="1">
      <c r="B48" s="99" t="s">
        <v>61</v>
      </c>
      <c r="C48" s="100">
        <v>0.27</v>
      </c>
    </row>
    <row r="50" ht="15">
      <c r="B50" s="10" t="s">
        <v>65</v>
      </c>
    </row>
  </sheetData>
  <sheetProtection/>
  <mergeCells count="9">
    <mergeCell ref="I1:O1"/>
    <mergeCell ref="E14:G14"/>
    <mergeCell ref="B44:C44"/>
    <mergeCell ref="B1:C1"/>
    <mergeCell ref="E1:G1"/>
    <mergeCell ref="E24:G24"/>
    <mergeCell ref="E25:G25"/>
    <mergeCell ref="E21:G23"/>
    <mergeCell ref="E44:G44"/>
  </mergeCells>
  <printOptions/>
  <pageMargins left="0.49" right="0.2" top="0.7" bottom="0.43" header="0" footer="0"/>
  <pageSetup fitToHeight="1" fitToWidth="1" horizontalDpi="600" verticalDpi="600" orientation="landscape" paperSize="9" scale="63" r:id="rId2"/>
  <headerFooter alignWithMargins="0">
    <oddHeader>&amp;CNOTARIOS ASOCIADOS, S.C.P.
Ruiz Zorrilla, 1 - 2º-3º-4º
12001 CASTELLON</oddHeader>
    <oddFooter>&amp;L&amp;"Arial,Negrita"&amp;14CALCULO APROXIMADO EFECTO IMPOSITIVO I.R.P.F.  DE LA TRANSMISION&amp;C&amp;D&amp;RPágina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S102"/>
  <sheetViews>
    <sheetView zoomScalePageLayoutView="0" workbookViewId="0" topLeftCell="A73">
      <selection activeCell="C55" sqref="C55"/>
    </sheetView>
  </sheetViews>
  <sheetFormatPr defaultColWidth="11.421875" defaultRowHeight="12.75"/>
  <cols>
    <col min="2" max="2" width="11.8515625" style="0" bestFit="1" customWidth="1"/>
    <col min="3" max="3" width="21.00390625" style="0" customWidth="1"/>
    <col min="4" max="4" width="16.140625" style="0" customWidth="1"/>
    <col min="5" max="5" width="14.00390625" style="0" customWidth="1"/>
    <col min="6" max="6" width="17.140625" style="0" customWidth="1"/>
    <col min="9" max="9" width="15.00390625" style="0" customWidth="1"/>
    <col min="10" max="10" width="13.421875" style="0" customWidth="1"/>
    <col min="19" max="19" width="3.28125" style="0" customWidth="1"/>
  </cols>
  <sheetData>
    <row r="3" spans="3:4" ht="12.75">
      <c r="C3" t="s">
        <v>13</v>
      </c>
      <c r="D3" s="8">
        <f>+DATOS!C5+DATOS!C6</f>
        <v>12000</v>
      </c>
    </row>
    <row r="4" spans="3:4" ht="12.75">
      <c r="C4" t="s">
        <v>14</v>
      </c>
      <c r="D4" s="8">
        <f>+DATOS!G19</f>
        <v>12487.199999999999</v>
      </c>
    </row>
    <row r="5" spans="3:4" ht="12.75">
      <c r="C5" t="s">
        <v>15</v>
      </c>
      <c r="D5" s="8">
        <f>+DATOS!C16-DATOS!C17</f>
        <v>156000</v>
      </c>
    </row>
    <row r="6" spans="3:10" ht="12.75">
      <c r="C6" t="s">
        <v>16</v>
      </c>
      <c r="D6" s="8">
        <f>+D5-D4</f>
        <v>143512.8</v>
      </c>
      <c r="G6">
        <f>+D6/D12</f>
        <v>97.23089430894308</v>
      </c>
      <c r="H6" s="1">
        <f>+D8</f>
        <v>39886</v>
      </c>
      <c r="I6" s="9">
        <v>0</v>
      </c>
      <c r="J6">
        <v>0</v>
      </c>
    </row>
    <row r="7" spans="8:10" ht="12.75">
      <c r="H7" s="1">
        <f>+B19</f>
        <v>35430</v>
      </c>
      <c r="I7" s="8">
        <f>IF(+DATOS!G10&lt;2,0,+G6*E19)</f>
        <v>0</v>
      </c>
      <c r="J7" s="9">
        <f>+I7</f>
        <v>0</v>
      </c>
    </row>
    <row r="8" spans="3:10" ht="12.75">
      <c r="C8" t="s">
        <v>0</v>
      </c>
      <c r="D8" s="2">
        <f>+DATOS!C3</f>
        <v>39886</v>
      </c>
      <c r="H8" s="1">
        <f>+B14</f>
        <v>38736</v>
      </c>
      <c r="I8" s="8">
        <f>IF(+DATOS!G5=0,0,+D16*G6)</f>
        <v>0</v>
      </c>
      <c r="J8" s="9">
        <f>+I8-J7</f>
        <v>0</v>
      </c>
    </row>
    <row r="9" spans="3:10" ht="12.75">
      <c r="C9" t="s">
        <v>1</v>
      </c>
      <c r="D9" s="2">
        <f>+DATOS!C14</f>
        <v>41363</v>
      </c>
      <c r="H9" s="1">
        <f>+D9</f>
        <v>41363</v>
      </c>
      <c r="I9" s="8">
        <f>+D12*G6</f>
        <v>143512.8</v>
      </c>
      <c r="J9" s="9">
        <f>+I9-J8-J7</f>
        <v>143512.8</v>
      </c>
    </row>
    <row r="10" spans="3:4" ht="12.75">
      <c r="C10" t="s">
        <v>4</v>
      </c>
      <c r="D10" s="3">
        <f>DAYS360(D8,D9,TRUE)</f>
        <v>1456</v>
      </c>
    </row>
    <row r="11" spans="3:5" ht="12.75">
      <c r="C11" t="s">
        <v>5</v>
      </c>
      <c r="D11" s="4">
        <f>+D10/360</f>
        <v>4.044444444444444</v>
      </c>
      <c r="E11">
        <f>+D11*5</f>
        <v>20.22222222222222</v>
      </c>
    </row>
    <row r="12" spans="3:4" ht="12.75">
      <c r="C12" s="14" t="s">
        <v>6</v>
      </c>
      <c r="D12" s="15">
        <f>ROUND(E11,0)+D10</f>
        <v>1476</v>
      </c>
    </row>
    <row r="14" spans="2:4" ht="12.75">
      <c r="B14" s="1">
        <v>38736</v>
      </c>
      <c r="C14" t="s">
        <v>2</v>
      </c>
      <c r="D14" s="3">
        <f>DAYS360(D8,B14,TRUE)</f>
        <v>-1135</v>
      </c>
    </row>
    <row r="15" spans="2:5" ht="12.75">
      <c r="B15" s="1"/>
      <c r="C15" t="s">
        <v>5</v>
      </c>
      <c r="D15" s="4">
        <f>+D14/360</f>
        <v>-3.1527777777777777</v>
      </c>
      <c r="E15">
        <f>+D15*5</f>
        <v>-15.76388888888889</v>
      </c>
    </row>
    <row r="16" spans="2:4" ht="12.75">
      <c r="B16" s="18">
        <f>+B14</f>
        <v>38736</v>
      </c>
      <c r="C16" s="14" t="s">
        <v>6</v>
      </c>
      <c r="D16" s="15">
        <f>ROUND(E15,0)+D14</f>
        <v>-1151</v>
      </c>
    </row>
    <row r="17" spans="2:4" ht="12.75">
      <c r="B17" s="1"/>
      <c r="D17" s="3"/>
    </row>
    <row r="19" spans="2:5" ht="12.75">
      <c r="B19" s="1">
        <v>35430</v>
      </c>
      <c r="C19" t="s">
        <v>9</v>
      </c>
      <c r="D19" s="3">
        <f>DAYS360(D8,B19,TRUE)</f>
        <v>-4394</v>
      </c>
      <c r="E19">
        <f>+D19+D20*5</f>
        <v>-4455.027777777777</v>
      </c>
    </row>
    <row r="20" spans="2:4" ht="12.75">
      <c r="B20" s="1"/>
      <c r="C20" t="s">
        <v>5</v>
      </c>
      <c r="D20" s="4">
        <f>+D19/360</f>
        <v>-12.205555555555556</v>
      </c>
    </row>
    <row r="21" spans="2:5" ht="12.75">
      <c r="B21" s="16">
        <f>+B19</f>
        <v>35430</v>
      </c>
      <c r="C21" s="17" t="s">
        <v>3</v>
      </c>
      <c r="D21" s="19">
        <f>ROUND(D20-0.5,0)+1</f>
        <v>-12</v>
      </c>
      <c r="E21">
        <f>+D21*D24</f>
        <v>-1.3332000000000002</v>
      </c>
    </row>
    <row r="22" spans="2:4" ht="12.75">
      <c r="B22" s="1">
        <f>+B21</f>
        <v>35430</v>
      </c>
      <c r="C22" t="s">
        <v>28</v>
      </c>
      <c r="D22" s="3">
        <f>+D19+D21*5</f>
        <v>-4454</v>
      </c>
    </row>
    <row r="23" spans="2:4" ht="12.75">
      <c r="B23" s="1"/>
      <c r="D23" s="3"/>
    </row>
    <row r="24" spans="3:4" ht="12.75">
      <c r="C24" s="20" t="s">
        <v>10</v>
      </c>
      <c r="D24" s="21">
        <v>0.1111</v>
      </c>
    </row>
    <row r="25" spans="3:4" ht="12.75">
      <c r="C25" s="22" t="s">
        <v>11</v>
      </c>
      <c r="D25" s="23">
        <v>0.25</v>
      </c>
    </row>
    <row r="26" spans="3:4" ht="12.75">
      <c r="C26" s="24" t="s">
        <v>12</v>
      </c>
      <c r="D26" s="25">
        <v>0.1428</v>
      </c>
    </row>
    <row r="29" spans="3:6" ht="12.75">
      <c r="C29" t="s">
        <v>7</v>
      </c>
      <c r="D29" s="5">
        <f>1-D30</f>
        <v>1.779810298102981</v>
      </c>
      <c r="F29" s="8">
        <f>+D29*D6</f>
        <v>255425.55934959347</v>
      </c>
    </row>
    <row r="30" spans="3:6" ht="12.75">
      <c r="C30" t="s">
        <v>8</v>
      </c>
      <c r="D30" s="5">
        <f>+D16/D12</f>
        <v>-0.7798102981029811</v>
      </c>
      <c r="E30" s="7">
        <f>IF(E21&lt;1,1-E21,0)</f>
        <v>2.3332</v>
      </c>
      <c r="F30" s="8">
        <f>+E30*D30*D6</f>
        <v>-261114.85011447157</v>
      </c>
    </row>
    <row r="31" ht="12.75">
      <c r="E31" s="7">
        <f>+E30*D30</f>
        <v>-1.8194533875338756</v>
      </c>
    </row>
    <row r="32" spans="5:6" ht="12.75">
      <c r="E32" s="10" t="s">
        <v>17</v>
      </c>
      <c r="F32" s="11">
        <f>+F29+F30</f>
        <v>-5689.2907648780965</v>
      </c>
    </row>
    <row r="34" spans="5:6" ht="12.75">
      <c r="E34" s="12">
        <v>0.18</v>
      </c>
      <c r="F34" s="13">
        <f>+E34*F32</f>
        <v>-1024.0723376780572</v>
      </c>
    </row>
    <row r="36" spans="3:4" ht="12.75">
      <c r="C36" t="s">
        <v>14</v>
      </c>
      <c r="D36">
        <f>IF(+DATOS!F19&lt;=1984,+Calculos!E44,+Calculos!D40)</f>
        <v>1.0406</v>
      </c>
    </row>
    <row r="37" ht="12.75">
      <c r="D37" s="9">
        <f>+D36*(DATOS!C6+DATOS!C5)</f>
        <v>12487.199999999999</v>
      </c>
    </row>
    <row r="40" ht="12.75">
      <c r="D40">
        <f>VLOOKUP(DATOS!F19,D45:E76,2,FALSE)</f>
        <v>1.0406</v>
      </c>
    </row>
    <row r="43" spans="4:5" ht="12.75">
      <c r="D43" t="s">
        <v>38</v>
      </c>
      <c r="E43" t="s">
        <v>39</v>
      </c>
    </row>
    <row r="44" ht="12.75">
      <c r="E44" s="26">
        <v>1.3167</v>
      </c>
    </row>
    <row r="45" spans="4:5" ht="12.75">
      <c r="D45">
        <v>1984</v>
      </c>
      <c r="E45" s="26">
        <v>1.3167</v>
      </c>
    </row>
    <row r="46" spans="4:5" ht="12.75">
      <c r="D46">
        <v>1985</v>
      </c>
      <c r="E46" s="26">
        <v>1.3167</v>
      </c>
    </row>
    <row r="47" spans="4:5" ht="12.75">
      <c r="D47">
        <v>1986</v>
      </c>
      <c r="E47" s="26">
        <v>1.3167</v>
      </c>
    </row>
    <row r="48" spans="4:5" ht="12.75">
      <c r="D48">
        <v>1987</v>
      </c>
      <c r="E48" s="26">
        <v>1.3167</v>
      </c>
    </row>
    <row r="49" spans="4:13" ht="12.75">
      <c r="D49">
        <v>1988</v>
      </c>
      <c r="E49" s="26">
        <v>1.3167</v>
      </c>
      <c r="G49" s="127" t="s">
        <v>52</v>
      </c>
      <c r="H49" s="127"/>
      <c r="I49" s="127"/>
      <c r="J49" s="9">
        <f>+DATOS!G35</f>
        <v>143512.8</v>
      </c>
      <c r="K49" s="6">
        <f>+J49/DATOS!G31</f>
        <v>1</v>
      </c>
      <c r="L49" t="str">
        <f>+G49</f>
        <v>Ganancia Régimen General</v>
      </c>
      <c r="M49" s="9">
        <f>+J49</f>
        <v>143512.8</v>
      </c>
    </row>
    <row r="50" spans="4:13" ht="12.75">
      <c r="D50">
        <v>1989</v>
      </c>
      <c r="E50" s="26">
        <v>1.3167</v>
      </c>
      <c r="G50" s="127" t="s">
        <v>53</v>
      </c>
      <c r="H50" s="127"/>
      <c r="I50" s="127"/>
      <c r="J50" s="9">
        <f>+DATOS!G36</f>
        <v>0</v>
      </c>
      <c r="K50" s="7">
        <f>+J50/DATOS!G31</f>
        <v>0</v>
      </c>
      <c r="L50" t="str">
        <f>+G50</f>
        <v>Ganancia Sujeta Regimen Transitorio</v>
      </c>
      <c r="M50" s="9">
        <f>+J50</f>
        <v>0</v>
      </c>
    </row>
    <row r="51" spans="4:13" ht="12.75">
      <c r="D51">
        <v>1990</v>
      </c>
      <c r="E51" s="26">
        <v>1.3167</v>
      </c>
      <c r="G51" s="127" t="s">
        <v>54</v>
      </c>
      <c r="H51" s="127"/>
      <c r="I51" s="127"/>
      <c r="J51" s="9">
        <f>+DATOS!G37</f>
        <v>0</v>
      </c>
      <c r="K51" s="7">
        <f>+J51/DATOS!G31</f>
        <v>0</v>
      </c>
      <c r="L51" t="str">
        <f>+G51</f>
        <v>Ganancia EXENTA Régimen Transitorio</v>
      </c>
      <c r="M51" s="9">
        <f>+J51</f>
        <v>0</v>
      </c>
    </row>
    <row r="52" spans="4:5" ht="12.75">
      <c r="D52">
        <v>1991</v>
      </c>
      <c r="E52" s="26">
        <v>1.3167</v>
      </c>
    </row>
    <row r="53" spans="4:5" ht="12.75">
      <c r="D53">
        <v>1992</v>
      </c>
      <c r="E53" s="26">
        <v>1.3167</v>
      </c>
    </row>
    <row r="54" spans="4:5" ht="12.75">
      <c r="D54">
        <v>1993</v>
      </c>
      <c r="E54" s="26">
        <v>1.3167</v>
      </c>
    </row>
    <row r="55" spans="4:5" ht="12.75">
      <c r="D55">
        <v>1994</v>
      </c>
      <c r="E55" s="26">
        <v>1.3167</v>
      </c>
    </row>
    <row r="56" spans="4:5" ht="12.75">
      <c r="D56">
        <v>1995</v>
      </c>
      <c r="E56" s="26">
        <v>1.3911</v>
      </c>
    </row>
    <row r="57" spans="4:6" ht="12.75">
      <c r="D57">
        <v>1996</v>
      </c>
      <c r="E57" s="26">
        <v>1.3435</v>
      </c>
      <c r="F57">
        <f>+E66/E67</f>
        <v>1.0200144901286</v>
      </c>
    </row>
    <row r="58" spans="4:12" ht="12.75">
      <c r="D58">
        <v>1997</v>
      </c>
      <c r="E58" s="26">
        <v>1.3167</v>
      </c>
      <c r="G58" s="127" t="s">
        <v>55</v>
      </c>
      <c r="H58" s="127"/>
      <c r="I58" s="127"/>
      <c r="J58" s="8">
        <f>+DATOS!$F$40*DATOS!$G$35</f>
        <v>38028.456</v>
      </c>
      <c r="K58" t="str">
        <f>+G58</f>
        <v>Impuesto derivado Régimen General</v>
      </c>
      <c r="L58" s="9">
        <f>+J58</f>
        <v>38028.456</v>
      </c>
    </row>
    <row r="59" spans="4:12" ht="12.75">
      <c r="D59">
        <v>1998</v>
      </c>
      <c r="E59" s="26">
        <v>1.2912</v>
      </c>
      <c r="G59" s="127" t="s">
        <v>56</v>
      </c>
      <c r="H59" s="127"/>
      <c r="I59" s="127"/>
      <c r="J59" s="8">
        <f>+DATOS!$G$36*DATOS!$F$40</f>
        <v>0</v>
      </c>
      <c r="K59" t="str">
        <f>+G59</f>
        <v>Impuesto derivado Régimen Transitorio</v>
      </c>
      <c r="L59" s="9">
        <f>+J59</f>
        <v>0</v>
      </c>
    </row>
    <row r="60" spans="4:5" ht="12.75">
      <c r="D60">
        <v>1999</v>
      </c>
      <c r="E60" s="26">
        <v>1.268</v>
      </c>
    </row>
    <row r="61" spans="4:5" ht="12.75">
      <c r="D61">
        <v>2000</v>
      </c>
      <c r="E61" s="26">
        <v>1.2436</v>
      </c>
    </row>
    <row r="62" spans="4:5" ht="12.75">
      <c r="D62">
        <v>2001</v>
      </c>
      <c r="E62" s="26">
        <v>1.2192</v>
      </c>
    </row>
    <row r="63" spans="4:5" ht="12.75">
      <c r="D63">
        <v>2002</v>
      </c>
      <c r="E63" s="26">
        <v>1.1952</v>
      </c>
    </row>
    <row r="64" spans="4:5" ht="12.75">
      <c r="D64">
        <v>2003</v>
      </c>
      <c r="E64" s="26">
        <v>1.1719</v>
      </c>
    </row>
    <row r="65" spans="4:5" ht="12.75">
      <c r="D65">
        <v>2004</v>
      </c>
      <c r="E65" s="26">
        <v>1.1489</v>
      </c>
    </row>
    <row r="66" spans="4:5" ht="12.75">
      <c r="D66">
        <v>2005</v>
      </c>
      <c r="E66" s="26">
        <v>1.1263</v>
      </c>
    </row>
    <row r="67" spans="4:5" ht="12.75">
      <c r="D67">
        <v>2006</v>
      </c>
      <c r="E67" s="26">
        <v>1.1042</v>
      </c>
    </row>
    <row r="68" spans="4:5" ht="12.75">
      <c r="D68">
        <v>2007</v>
      </c>
      <c r="E68" s="26">
        <v>1.0826</v>
      </c>
    </row>
    <row r="69" spans="4:5" ht="12.75">
      <c r="D69">
        <v>2008</v>
      </c>
      <c r="E69" s="26">
        <v>1.0614</v>
      </c>
    </row>
    <row r="70" spans="4:5" ht="12.75">
      <c r="D70">
        <v>2009</v>
      </c>
      <c r="E70" s="26">
        <v>1.0406</v>
      </c>
    </row>
    <row r="71" spans="4:5" ht="12.75">
      <c r="D71">
        <v>2010</v>
      </c>
      <c r="E71" s="26">
        <v>1.0303</v>
      </c>
    </row>
    <row r="72" spans="4:5" ht="12.75">
      <c r="D72">
        <v>2011</v>
      </c>
      <c r="E72" s="26">
        <v>1.0201</v>
      </c>
    </row>
    <row r="73" spans="4:5" ht="12.75">
      <c r="D73">
        <v>2012</v>
      </c>
      <c r="E73" s="26">
        <v>1.01</v>
      </c>
    </row>
    <row r="74" spans="4:5" ht="12.75">
      <c r="D74">
        <v>2013</v>
      </c>
      <c r="E74" s="26">
        <v>1</v>
      </c>
    </row>
    <row r="75" spans="4:5" ht="12.75">
      <c r="D75">
        <v>2014</v>
      </c>
      <c r="E75" s="26">
        <v>1</v>
      </c>
    </row>
    <row r="76" spans="4:5" ht="12.75">
      <c r="D76">
        <v>2015</v>
      </c>
      <c r="E76" s="26">
        <v>1</v>
      </c>
    </row>
    <row r="83" ht="12.75">
      <c r="N83" s="52"/>
    </row>
    <row r="84" spans="6:9" ht="12.75">
      <c r="F84" t="s">
        <v>16</v>
      </c>
      <c r="G84">
        <v>1000</v>
      </c>
      <c r="H84">
        <v>20</v>
      </c>
      <c r="I84">
        <f>+G84/H84</f>
        <v>50</v>
      </c>
    </row>
    <row r="85" spans="6:7" ht="12.75">
      <c r="F85">
        <v>1992</v>
      </c>
      <c r="G85">
        <v>0</v>
      </c>
    </row>
    <row r="86" spans="6:17" ht="12.75">
      <c r="F86">
        <v>1996</v>
      </c>
      <c r="G86">
        <f>+H86*I84</f>
        <v>200</v>
      </c>
      <c r="H86">
        <f>+F86-F85</f>
        <v>4</v>
      </c>
      <c r="M86" s="29"/>
      <c r="N86" s="29"/>
      <c r="O86" s="29"/>
      <c r="P86" s="29"/>
      <c r="Q86" s="29"/>
    </row>
    <row r="87" spans="6:17" ht="12.75">
      <c r="F87">
        <v>2006</v>
      </c>
      <c r="G87">
        <f>+H87*I84</f>
        <v>700</v>
      </c>
      <c r="H87">
        <f>+F87-F85</f>
        <v>14</v>
      </c>
      <c r="M87" s="29"/>
      <c r="N87" s="29"/>
      <c r="O87" s="29"/>
      <c r="P87" s="29"/>
      <c r="Q87" s="29"/>
    </row>
    <row r="88" spans="6:17" ht="12.75">
      <c r="F88">
        <v>2012</v>
      </c>
      <c r="G88">
        <f>+G84</f>
        <v>1000</v>
      </c>
      <c r="H88">
        <f>+F88-F85</f>
        <v>20</v>
      </c>
      <c r="M88" s="55"/>
      <c r="N88" s="29"/>
      <c r="O88" s="29"/>
      <c r="P88" s="53"/>
      <c r="Q88" s="29"/>
    </row>
    <row r="89" spans="13:17" ht="12.75">
      <c r="M89" s="55"/>
      <c r="N89" s="29"/>
      <c r="O89" s="29"/>
      <c r="P89" s="53"/>
      <c r="Q89" s="29"/>
    </row>
    <row r="90" spans="13:17" ht="12.75">
      <c r="M90" s="55"/>
      <c r="N90" s="29"/>
      <c r="O90" s="29"/>
      <c r="P90" s="53"/>
      <c r="Q90" s="29"/>
    </row>
    <row r="91" spans="13:17" ht="12.75">
      <c r="M91" s="55"/>
      <c r="N91" s="29"/>
      <c r="O91" s="29"/>
      <c r="P91" s="53"/>
      <c r="Q91" s="29"/>
    </row>
    <row r="92" spans="12:17" ht="13.5" thickBot="1">
      <c r="L92" s="54"/>
      <c r="M92" s="55"/>
      <c r="N92" s="29"/>
      <c r="O92" s="29"/>
      <c r="P92" s="53"/>
      <c r="Q92" s="29"/>
    </row>
    <row r="93" spans="2:17" ht="13.5" thickBot="1">
      <c r="B93" s="106" t="s">
        <v>62</v>
      </c>
      <c r="C93" s="107"/>
      <c r="D93" s="9">
        <f>+DATOS!G39</f>
        <v>143512.8</v>
      </c>
      <c r="L93" s="54"/>
      <c r="M93" s="55"/>
      <c r="N93" s="29"/>
      <c r="O93" s="29"/>
      <c r="P93" s="53"/>
      <c r="Q93" s="29"/>
    </row>
    <row r="94" spans="2:17" ht="15">
      <c r="B94" s="95" t="s">
        <v>60</v>
      </c>
      <c r="C94" s="96"/>
      <c r="L94" s="54"/>
      <c r="M94" s="55"/>
      <c r="N94" s="29"/>
      <c r="O94" s="29"/>
      <c r="P94" s="53"/>
      <c r="Q94" s="29"/>
    </row>
    <row r="95" spans="2:19" ht="15">
      <c r="B95" s="97">
        <v>6000</v>
      </c>
      <c r="C95" s="98">
        <v>0.21</v>
      </c>
      <c r="D95" s="101">
        <v>6000</v>
      </c>
      <c r="E95" s="9">
        <f>+D93-D95</f>
        <v>137512.8</v>
      </c>
      <c r="F95" s="101">
        <f>IF(E95&gt;0,+B95*C95,+D93*C95)</f>
        <v>1260</v>
      </c>
      <c r="H95" s="9"/>
      <c r="L95" s="54"/>
      <c r="M95" s="55"/>
      <c r="N95" s="29"/>
      <c r="O95" s="29"/>
      <c r="P95" s="53"/>
      <c r="Q95" s="29"/>
      <c r="R95" s="29"/>
      <c r="S95" s="29"/>
    </row>
    <row r="96" spans="2:19" ht="15.75" thickBot="1">
      <c r="B96" s="97">
        <v>24000</v>
      </c>
      <c r="C96" s="98">
        <v>0.25</v>
      </c>
      <c r="D96" s="9">
        <v>18000</v>
      </c>
      <c r="E96" s="9">
        <f>+D93-D96-D95</f>
        <v>119512.79999999999</v>
      </c>
      <c r="F96" s="101">
        <f>IF(+E96&gt;0,+D96*C96,0)</f>
        <v>4500</v>
      </c>
      <c r="H96" s="9"/>
      <c r="L96" s="54"/>
      <c r="M96" s="56"/>
      <c r="N96" s="57"/>
      <c r="O96" s="57"/>
      <c r="P96" s="58"/>
      <c r="Q96" s="57"/>
      <c r="R96" s="57"/>
      <c r="S96" s="57"/>
    </row>
    <row r="97" spans="2:19" ht="15.75" thickTop="1">
      <c r="B97" s="97"/>
      <c r="C97" s="98"/>
      <c r="D97" s="9"/>
      <c r="E97" s="9"/>
      <c r="F97" s="101" t="b">
        <f>IF(+E95&lt;=18000,+E95*C96)</f>
        <v>0</v>
      </c>
      <c r="L97" s="54"/>
      <c r="M97" s="29"/>
      <c r="N97" s="29"/>
      <c r="O97" s="29"/>
      <c r="P97" s="29"/>
      <c r="Q97" s="29"/>
      <c r="R97" s="29"/>
      <c r="S97" s="29"/>
    </row>
    <row r="98" spans="2:14" ht="15.75" thickBot="1">
      <c r="B98" s="99" t="s">
        <v>61</v>
      </c>
      <c r="C98" s="100">
        <v>0.27</v>
      </c>
      <c r="D98" s="9"/>
      <c r="E98" s="9">
        <f>+E96</f>
        <v>119512.79999999999</v>
      </c>
      <c r="F98" s="101">
        <f>IF(E96&gt;0,+E98*C98)</f>
        <v>32268.456</v>
      </c>
      <c r="L98" s="54"/>
      <c r="N98" s="29"/>
    </row>
    <row r="99" spans="6:14" ht="12.75">
      <c r="F99" s="11">
        <f>+F98+F97+F96+F95</f>
        <v>38028.456</v>
      </c>
      <c r="N99" s="29"/>
    </row>
    <row r="100" ht="12.75">
      <c r="N100" s="29"/>
    </row>
    <row r="101" ht="12.75">
      <c r="N101" s="29"/>
    </row>
    <row r="102" spans="2:9" ht="12.75">
      <c r="B102" s="102" t="s">
        <v>63</v>
      </c>
      <c r="I102">
        <v>1</v>
      </c>
    </row>
  </sheetData>
  <sheetProtection/>
  <mergeCells count="6">
    <mergeCell ref="B93:C93"/>
    <mergeCell ref="G59:I59"/>
    <mergeCell ref="G49:I49"/>
    <mergeCell ref="G50:I50"/>
    <mergeCell ref="G51:I51"/>
    <mergeCell ref="G58:I58"/>
  </mergeCells>
  <printOptions/>
  <pageMargins left="0.75" right="0.2" top="0.47" bottom="0.4" header="0" footer="0"/>
  <pageSetup fitToHeight="1" fitToWidth="1" horizontalDpi="600" verticalDpi="600" orientation="landscape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2" sqref="C22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ERNESTO TARRAGON ALBELLA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JAF 1</dc:creator>
  <cp:keywords/>
  <dc:description/>
  <cp:lastModifiedBy>D.Ernesto</cp:lastModifiedBy>
  <cp:lastPrinted>2007-09-24T12:05:44Z</cp:lastPrinted>
  <dcterms:created xsi:type="dcterms:W3CDTF">2006-11-17T12:51:27Z</dcterms:created>
  <dcterms:modified xsi:type="dcterms:W3CDTF">2013-02-01T08:14:52Z</dcterms:modified>
  <cp:category/>
  <cp:version/>
  <cp:contentType/>
  <cp:contentStatus/>
</cp:coreProperties>
</file>