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DATOS" sheetId="1" r:id="rId1"/>
    <sheet name="Calculos" sheetId="2" r:id="rId2"/>
    <sheet name="Hoja3" sheetId="3" r:id="rId3"/>
  </sheets>
  <definedNames>
    <definedName name="_xlnm.Print_Area" localSheetId="0">'DATOS'!$B$3:$P$64</definedName>
  </definedNames>
  <calcPr fullCalcOnLoad="1"/>
</workbook>
</file>

<file path=xl/sharedStrings.xml><?xml version="1.0" encoding="utf-8"?>
<sst xmlns="http://schemas.openxmlformats.org/spreadsheetml/2006/main" count="94" uniqueCount="84">
  <si>
    <t>Fecha compra</t>
  </si>
  <si>
    <t>Fecha venta</t>
  </si>
  <si>
    <t>Dias hasta 19/01/2006</t>
  </si>
  <si>
    <t>Años hasta 31/12/96</t>
  </si>
  <si>
    <t>Dias permanencia 360</t>
  </si>
  <si>
    <t>Años</t>
  </si>
  <si>
    <t>Dia permanencia 365</t>
  </si>
  <si>
    <t>Parte general</t>
  </si>
  <si>
    <t>Parte régimen transitorio</t>
  </si>
  <si>
    <t>Dias hasta 31/12/1996</t>
  </si>
  <si>
    <t>Inmueble</t>
  </si>
  <si>
    <t>Acciones Cotiz</t>
  </si>
  <si>
    <t>Otros</t>
  </si>
  <si>
    <t>Coste</t>
  </si>
  <si>
    <t>Coste Actualizado</t>
  </si>
  <si>
    <t>Precio Venta</t>
  </si>
  <si>
    <t>Beneficio</t>
  </si>
  <si>
    <t>SUJETO</t>
  </si>
  <si>
    <t>Fecha adquisición</t>
  </si>
  <si>
    <t>Coste adquisicisión</t>
  </si>
  <si>
    <t>Gastos e impuestos</t>
  </si>
  <si>
    <t>Tipo de bien</t>
  </si>
  <si>
    <t>Inmuebles</t>
  </si>
  <si>
    <t>INMUEBLE</t>
  </si>
  <si>
    <t>ACCIONES COTIZADAS</t>
  </si>
  <si>
    <t>OTROS</t>
  </si>
  <si>
    <t>Fecha enajenación</t>
  </si>
  <si>
    <t>Importe venta</t>
  </si>
  <si>
    <t>Dia hasta 31/12/96</t>
  </si>
  <si>
    <t>Dias permanencia hasta fecha venta</t>
  </si>
  <si>
    <t>Dias permannecia hasta 19/01/2006</t>
  </si>
  <si>
    <t>Años a efectos coeficiente abatimiento</t>
  </si>
  <si>
    <t>Periodos de aplicación coeficiente</t>
  </si>
  <si>
    <t>Porcenteje ganancia  en régimen transitorio</t>
  </si>
  <si>
    <t>Porcentaje ganancia en régimen general</t>
  </si>
  <si>
    <t>Acciones Cotizadas</t>
  </si>
  <si>
    <t>PORCENTAJE SUJETO REGIMEN TRANSITORIO</t>
  </si>
  <si>
    <t>Año Inversión</t>
  </si>
  <si>
    <t>Coeficiente</t>
  </si>
  <si>
    <t>Precio Venta Neto</t>
  </si>
  <si>
    <t>Ganancia Patrimonial</t>
  </si>
  <si>
    <t>GANANCIA PATRIMONIAL TOTAL</t>
  </si>
  <si>
    <t>GANANCIA SUJETA A REGIMEN GENERAL</t>
  </si>
  <si>
    <t>GANANCIA SUJETA A REGIMEN TRANSITORIO</t>
  </si>
  <si>
    <t>GANANCIA SUJETA A GRAVAMEN</t>
  </si>
  <si>
    <t>IMPUESTO DEVENGADO POR GANANCIA PATRIMONIAL</t>
  </si>
  <si>
    <t>DATOS INICIALES</t>
  </si>
  <si>
    <t>DATOS Y PROCESO CALCULO</t>
  </si>
  <si>
    <t>Desglose:</t>
  </si>
  <si>
    <t>DISTRIBUCION LINEAL DE LA GANANCIA PATRIMONIAL</t>
  </si>
  <si>
    <t>Ganancia Régimen General</t>
  </si>
  <si>
    <t>Ganancia Sujeta Regimen Transitorio</t>
  </si>
  <si>
    <t>Impuesto derivado Régimen General</t>
  </si>
  <si>
    <t>Impuesto derivado Régimen Transitorio</t>
  </si>
  <si>
    <t>Gastos a cgo vendedor</t>
  </si>
  <si>
    <t xml:space="preserve">NO TIENE EFECTOS PRACTICOS: GANANCIA PATRIMONIAL AL TIPO DE GRAVAMEN </t>
  </si>
  <si>
    <t>EN LAS TRANSMISIONES DE ELMENTOS ADQUIRIDOS CON POSTERIORIDAD A 31/12/94</t>
  </si>
  <si>
    <t xml:space="preserve">Hasta </t>
  </si>
  <si>
    <t>Mas</t>
  </si>
  <si>
    <t>TIPOS GRAVAMEN AHORRO</t>
  </si>
  <si>
    <t>GANANCIAS A TIPO MARGINAL</t>
  </si>
  <si>
    <t xml:space="preserve">             TIPO DE GRAVAMEN medio (calculo)</t>
  </si>
  <si>
    <t>OJO ACCIONES</t>
  </si>
  <si>
    <t>RELEVANTE VALOR IP 2005</t>
  </si>
  <si>
    <t xml:space="preserve">A EFECTOS DETERMINAR </t>
  </si>
  <si>
    <t xml:space="preserve">GENERACION </t>
  </si>
  <si>
    <t>GANANCIA</t>
  </si>
  <si>
    <t>Precio Venta:</t>
  </si>
  <si>
    <t>Limite maximo régimen transitorio</t>
  </si>
  <si>
    <t>MAX DERECHOS DE APLICACIÓN COEF. ABAT. PENDIENTES</t>
  </si>
  <si>
    <t xml:space="preserve">Coste </t>
  </si>
  <si>
    <t>GANANCIA APLICABLE REGIMEN GENERAL</t>
  </si>
  <si>
    <t>GANANCIA REALMENTE EXENTA REGIMEN TRANSITORIO</t>
  </si>
  <si>
    <t>GANANCIA REALMENTE SUJETA REGIMEN TRANSITORIO</t>
  </si>
  <si>
    <t>VENTAS ANTERIORES</t>
  </si>
  <si>
    <t>TRANSMISIONES ANTERIORES</t>
  </si>
  <si>
    <t>Nota: Aplicación estimativa efecto fiscal, solamente a efectos orientativos.</t>
  </si>
  <si>
    <t>GANANCIA EXENTA PREVIA POR REGIMEN TRANSITORIO (Antes Lte)</t>
  </si>
  <si>
    <t>PRECIO VENTA SOMETIDO A REGIMEN GENERAL</t>
  </si>
  <si>
    <t>PRECIO VENTA SOMETIDO A REGIMEN TRANSITORIO</t>
  </si>
  <si>
    <t>PORCENTAJE SOMETIDO A REGIMEN TRANSITORIO POST LTE</t>
  </si>
  <si>
    <t>Impuesto derivado Lte Regimen Trabnsitorio</t>
  </si>
  <si>
    <t>Ganancia EXENTA amtes Lte Régimen Transitorio</t>
  </si>
  <si>
    <t>GANANCIAS PATRIMONIALES POR VENTA DE INMUEBLES CON POSESION SUPERIOR A UN AÑO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</si>
</sst>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yyyy"/>
    <numFmt numFmtId="167" formatCode="0.00000"/>
    <numFmt numFmtId="168" formatCode="0.000000"/>
    <numFmt numFmtId="169" formatCode="0.0000"/>
    <numFmt numFmtId="170" formatCode="#,##0.000"/>
    <numFmt numFmtId="171" formatCode="#,##0.00\ &quot;€&quot;"/>
    <numFmt numFmtId="172" formatCode="[$-C0A]dddd\,\ dd&quot; de &quot;mmmm&quot; de &quot;yyyy"/>
    <numFmt numFmtId="173" formatCode="_(&quot;€&quot;* #,##0.00_);_(&quot;€&quot;* \(#,##0.00\);_(&quot;€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4.5"/>
      <color indexed="8"/>
      <name val="Arial"/>
      <family val="0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Arial"/>
      <family val="0"/>
    </font>
    <font>
      <b/>
      <sz val="13.75"/>
      <color indexed="8"/>
      <name val="Arial"/>
      <family val="0"/>
    </font>
    <font>
      <sz val="10.1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4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53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24" borderId="0" xfId="0" applyNumberFormat="1" applyFill="1" applyAlignment="1">
      <alignment/>
    </xf>
    <xf numFmtId="0" fontId="1" fillId="22" borderId="0" xfId="0" applyFont="1" applyFill="1" applyAlignment="1">
      <alignment/>
    </xf>
    <xf numFmtId="3" fontId="1" fillId="22" borderId="0" xfId="0" applyNumberFormat="1" applyFont="1" applyFill="1" applyAlignment="1">
      <alignment horizontal="center"/>
    </xf>
    <xf numFmtId="14" fontId="0" fillId="22" borderId="0" xfId="0" applyNumberFormat="1" applyFill="1" applyAlignment="1">
      <alignment/>
    </xf>
    <xf numFmtId="0" fontId="0" fillId="22" borderId="0" xfId="0" applyFill="1" applyAlignment="1">
      <alignment/>
    </xf>
    <xf numFmtId="14" fontId="1" fillId="22" borderId="0" xfId="0" applyNumberFormat="1" applyFont="1" applyFill="1" applyAlignment="1">
      <alignment/>
    </xf>
    <xf numFmtId="4" fontId="0" fillId="22" borderId="0" xfId="0" applyNumberFormat="1" applyFill="1" applyAlignment="1">
      <alignment horizontal="center"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53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15" xfId="53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25" borderId="0" xfId="0" applyFont="1" applyFill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0" xfId="0" applyFill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1" fillId="16" borderId="0" xfId="0" applyFont="1" applyFill="1" applyAlignment="1">
      <alignment/>
    </xf>
    <xf numFmtId="0" fontId="0" fillId="0" borderId="0" xfId="0" applyFont="1" applyAlignment="1">
      <alignment/>
    </xf>
    <xf numFmtId="0" fontId="3" fillId="16" borderId="19" xfId="0" applyFont="1" applyFill="1" applyBorder="1" applyAlignment="1">
      <alignment/>
    </xf>
    <xf numFmtId="0" fontId="0" fillId="16" borderId="17" xfId="0" applyFill="1" applyBorder="1" applyAlignment="1">
      <alignment/>
    </xf>
    <xf numFmtId="44" fontId="3" fillId="16" borderId="20" xfId="45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0" fillId="26" borderId="22" xfId="0" applyFill="1" applyBorder="1" applyAlignment="1">
      <alignment/>
    </xf>
    <xf numFmtId="0" fontId="1" fillId="26" borderId="22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1" fillId="26" borderId="2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27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44" fontId="3" fillId="0" borderId="30" xfId="45" applyFont="1" applyBorder="1" applyAlignment="1">
      <alignment/>
    </xf>
    <xf numFmtId="3" fontId="7" fillId="16" borderId="0" xfId="0" applyNumberFormat="1" applyFont="1" applyFill="1" applyBorder="1" applyAlignment="1">
      <alignment/>
    </xf>
    <xf numFmtId="3" fontId="7" fillId="16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0" fontId="7" fillId="16" borderId="0" xfId="53" applyNumberFormat="1" applyFont="1" applyFill="1" applyAlignment="1">
      <alignment/>
    </xf>
    <xf numFmtId="10" fontId="7" fillId="16" borderId="16" xfId="0" applyNumberFormat="1" applyFont="1" applyFill="1" applyBorder="1" applyAlignment="1">
      <alignment/>
    </xf>
    <xf numFmtId="1" fontId="7" fillId="16" borderId="18" xfId="0" applyNumberFormat="1" applyFont="1" applyFill="1" applyBorder="1" applyAlignment="1">
      <alignment horizontal="center"/>
    </xf>
    <xf numFmtId="1" fontId="7" fillId="16" borderId="16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/>
    </xf>
    <xf numFmtId="10" fontId="7" fillId="0" borderId="0" xfId="53" applyNumberFormat="1" applyFont="1" applyAlignment="1">
      <alignment/>
    </xf>
    <xf numFmtId="0" fontId="7" fillId="0" borderId="0" xfId="0" applyFont="1" applyAlignment="1">
      <alignment/>
    </xf>
    <xf numFmtId="0" fontId="3" fillId="16" borderId="0" xfId="0" applyFont="1" applyFill="1" applyAlignment="1">
      <alignment/>
    </xf>
    <xf numFmtId="44" fontId="3" fillId="16" borderId="0" xfId="0" applyNumberFormat="1" applyFont="1" applyFill="1" applyAlignment="1">
      <alignment/>
    </xf>
    <xf numFmtId="44" fontId="7" fillId="0" borderId="0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3" fillId="0" borderId="24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4" fontId="7" fillId="26" borderId="31" xfId="0" applyNumberFormat="1" applyFont="1" applyFill="1" applyBorder="1" applyAlignment="1">
      <alignment/>
    </xf>
    <xf numFmtId="0" fontId="7" fillId="26" borderId="32" xfId="0" applyFont="1" applyFill="1" applyBorder="1" applyAlignment="1">
      <alignment/>
    </xf>
    <xf numFmtId="44" fontId="7" fillId="26" borderId="33" xfId="45" applyFont="1" applyFill="1" applyBorder="1" applyAlignment="1">
      <alignment/>
    </xf>
    <xf numFmtId="0" fontId="7" fillId="26" borderId="33" xfId="0" applyFont="1" applyFill="1" applyBorder="1" applyAlignment="1">
      <alignment/>
    </xf>
    <xf numFmtId="14" fontId="7" fillId="26" borderId="33" xfId="0" applyNumberFormat="1" applyFont="1" applyFill="1" applyBorder="1" applyAlignment="1">
      <alignment/>
    </xf>
    <xf numFmtId="44" fontId="7" fillId="26" borderId="34" xfId="45" applyFont="1" applyFill="1" applyBorder="1" applyAlignment="1">
      <alignment/>
    </xf>
    <xf numFmtId="0" fontId="7" fillId="0" borderId="0" xfId="0" applyFont="1" applyAlignment="1">
      <alignment/>
    </xf>
    <xf numFmtId="14" fontId="7" fillId="26" borderId="32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35" xfId="0" applyFont="1" applyBorder="1" applyAlignment="1">
      <alignment/>
    </xf>
    <xf numFmtId="44" fontId="0" fillId="0" borderId="22" xfId="45" applyFont="1" applyBorder="1" applyAlignment="1">
      <alignment horizontal="center"/>
    </xf>
    <xf numFmtId="9" fontId="7" fillId="0" borderId="3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9" fontId="7" fillId="0" borderId="30" xfId="0" applyNumberFormat="1" applyFont="1" applyBorder="1" applyAlignment="1">
      <alignment/>
    </xf>
    <xf numFmtId="0" fontId="8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44" fontId="27" fillId="0" borderId="0" xfId="0" applyNumberFormat="1" applyFont="1" applyAlignment="1">
      <alignment/>
    </xf>
    <xf numFmtId="44" fontId="28" fillId="0" borderId="0" xfId="0" applyNumberFormat="1" applyFont="1" applyAlignment="1">
      <alignment/>
    </xf>
    <xf numFmtId="10" fontId="28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8" fillId="0" borderId="24" xfId="0" applyFont="1" applyBorder="1" applyAlignment="1">
      <alignment/>
    </xf>
    <xf numFmtId="44" fontId="29" fillId="0" borderId="24" xfId="0" applyNumberFormat="1" applyFont="1" applyBorder="1" applyAlignment="1">
      <alignment/>
    </xf>
    <xf numFmtId="0" fontId="30" fillId="26" borderId="22" xfId="0" applyFont="1" applyFill="1" applyBorder="1" applyAlignment="1">
      <alignment/>
    </xf>
    <xf numFmtId="0" fontId="31" fillId="26" borderId="33" xfId="0" applyFont="1" applyFill="1" applyBorder="1" applyAlignment="1">
      <alignment/>
    </xf>
    <xf numFmtId="0" fontId="8" fillId="26" borderId="22" xfId="0" applyFont="1" applyFill="1" applyBorder="1" applyAlignment="1">
      <alignment/>
    </xf>
    <xf numFmtId="44" fontId="32" fillId="26" borderId="33" xfId="45" applyFont="1" applyFill="1" applyBorder="1" applyAlignment="1">
      <alignment/>
    </xf>
    <xf numFmtId="10" fontId="7" fillId="19" borderId="0" xfId="53" applyNumberFormat="1" applyFont="1" applyFill="1" applyAlignment="1">
      <alignment/>
    </xf>
    <xf numFmtId="0" fontId="30" fillId="0" borderId="16" xfId="0" applyFont="1" applyBorder="1" applyAlignment="1">
      <alignment/>
    </xf>
    <xf numFmtId="10" fontId="31" fillId="0" borderId="16" xfId="0" applyNumberFormat="1" applyFont="1" applyBorder="1" applyAlignment="1">
      <alignment/>
    </xf>
    <xf numFmtId="10" fontId="31" fillId="19" borderId="16" xfId="53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36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75"/>
          <c:w val="0.975"/>
          <c:h val="0.9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Calculos!$H$6:$H$9</c:f>
              <c:strCache>
                <c:ptCount val="4"/>
                <c:pt idx="0">
                  <c:v>32300</c:v>
                </c:pt>
                <c:pt idx="1">
                  <c:v>35430</c:v>
                </c:pt>
                <c:pt idx="2">
                  <c:v>38736</c:v>
                </c:pt>
                <c:pt idx="3">
                  <c:v>42527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127276.19047619049</c:v>
                </c:pt>
                <c:pt idx="2">
                  <c:v>261770.64579256362</c:v>
                </c:pt>
                <c:pt idx="3">
                  <c:v>416000</c:v>
                </c:pt>
              </c:numCache>
            </c:numRef>
          </c:val>
          <c:smooth val="0"/>
        </c:ser>
        <c:marker val="1"/>
        <c:axId val="17657673"/>
        <c:axId val="24701330"/>
      </c:lineChart>
      <c:dateAx>
        <c:axId val="17657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IMPUESTO A PAGAR</a:t>
            </a:r>
          </a:p>
        </c:rich>
      </c:tx>
      <c:layout>
        <c:manualLayout>
          <c:xMode val="factor"/>
          <c:yMode val="factor"/>
          <c:x val="0.006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5"/>
          <c:w val="0.689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34730.102100228796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58946.76342216188</c:v>
                </c:pt>
              </c:numCache>
            </c:numRef>
          </c:val>
        </c:ser>
        <c:ser>
          <c:idx val="2"/>
          <c:order val="2"/>
          <c:tx>
            <c:strRef>
              <c:f>Calculos!$K$60</c:f>
              <c:strCache>
                <c:ptCount val="1"/>
                <c:pt idx="0">
                  <c:v>Impuesto derivado Lte Regimen Trabnsitorio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Calculos!$L$60</c:f>
              <c:numCache>
                <c:ptCount val="1"/>
                <c:pt idx="0">
                  <c:v>53105.192272217915</c:v>
                </c:pt>
              </c:numCache>
            </c:numRef>
          </c:val>
        </c:ser>
        <c:overlap val="100"/>
        <c:axId val="20985379"/>
        <c:axId val="54650684"/>
      </c:bar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36325"/>
          <c:w val="0.261"/>
          <c:h val="0.3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GANANCIA PATRIMONIAL</a:t>
            </a:r>
          </a:p>
        </c:rich>
      </c:tx>
      <c:layout>
        <c:manualLayout>
          <c:xMode val="factor"/>
          <c:yMode val="factor"/>
          <c:x val="0.00175"/>
          <c:y val="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75"/>
          <c:y val="0.3635"/>
          <c:w val="0.5335"/>
          <c:h val="0.4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Calculos!$L$49:$L$51</c:f>
              <c:strCache>
                <c:ptCount val="3"/>
                <c:pt idx="0">
                  <c:v>Ganancia Régimen General</c:v>
                </c:pt>
                <c:pt idx="1">
                  <c:v>Ganancia Sujeta Regimen Transitorio</c:v>
                </c:pt>
                <c:pt idx="2">
                  <c:v>Ganancia EXENTA amtes Lte Régimen Transitorio</c:v>
                </c:pt>
              </c:strCache>
            </c:strRef>
          </c:cat>
          <c:val>
            <c:numRef>
              <c:f>Calculos!$M$49:$M$51</c:f>
              <c:numCache>
                <c:ptCount val="3"/>
                <c:pt idx="0">
                  <c:v>154229.3542074364</c:v>
                </c:pt>
                <c:pt idx="1">
                  <c:v>261770.6457925636</c:v>
                </c:pt>
                <c:pt idx="2">
                  <c:v>203579.03123287673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5975"/>
          <c:w val="0.33275"/>
          <c:h val="0.4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75"/>
          <c:w val="0.82425"/>
          <c:h val="0.91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Calculos!$H$6:$H$9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39325"/>
          <c:w val="0.1482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75"/>
          <c:w val="0.7765"/>
          <c:h val="0.92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Calculos!$H$6</c:f>
              <c:strCache>
                <c:ptCount val="1"/>
                <c:pt idx="0">
                  <c:v>06/06/1988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Calculos!$J$6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Calculos!$H$7</c:f>
              <c:strCache>
                <c:ptCount val="1"/>
                <c:pt idx="0">
                  <c:v>31/12/1996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FFFFFF"/>
                </a:gs>
                <a:gs pos="100000">
                  <a:srgbClr val="008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Calculos!$H$8</c:f>
              <c:strCache>
                <c:ptCount val="1"/>
                <c:pt idx="0">
                  <c:v>19/01/2006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Calculos!$H$9</c:f>
              <c:strCache>
                <c:ptCount val="1"/>
                <c:pt idx="0">
                  <c:v>06/06/2016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FFFF"/>
                </a:gs>
                <a:gs pos="100000">
                  <a:srgbClr val="8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4792375"/>
        <c:axId val="478192"/>
      </c:bar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2975"/>
          <c:w val="0.17275"/>
          <c:h val="0.3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6"/>
          <c:y val="0.32775"/>
          <c:w val="0.406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D7AEA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FFFF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Calculos!$L$49:$L$51</c:f>
              <c:strCache/>
            </c:strRef>
          </c:cat>
          <c:val>
            <c:numRef>
              <c:f>Calculos!$M$49:$M$51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875"/>
          <c:w val="0.6862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Calculos!$K$60</c:f>
              <c:strCache>
                <c:ptCount val="1"/>
                <c:pt idx="0">
                  <c:v>Impuesto derivado Lte Regimen Trabnsitorio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FFFF00"/>
                  </a:gs>
                  <a:gs pos="67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Calculos!$L$60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303729"/>
        <c:axId val="38733562"/>
      </c:bar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278"/>
          <c:w val="0.2825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15</xdr:col>
      <xdr:colOff>466725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296400" y="333375"/>
        <a:ext cx="5781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44</xdr:row>
      <xdr:rowOff>9525</xdr:rowOff>
    </xdr:from>
    <xdr:to>
      <xdr:col>15</xdr:col>
      <xdr:colOff>542925</xdr:colOff>
      <xdr:row>60</xdr:row>
      <xdr:rowOff>95250</xdr:rowOff>
    </xdr:to>
    <xdr:graphicFrame>
      <xdr:nvGraphicFramePr>
        <xdr:cNvPr id="2" name="Chart 4"/>
        <xdr:cNvGraphicFramePr/>
      </xdr:nvGraphicFramePr>
      <xdr:xfrm>
        <a:off x="9267825" y="8115300"/>
        <a:ext cx="58864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22</xdr:row>
      <xdr:rowOff>0</xdr:rowOff>
    </xdr:from>
    <xdr:to>
      <xdr:col>15</xdr:col>
      <xdr:colOff>533400</xdr:colOff>
      <xdr:row>43</xdr:row>
      <xdr:rowOff>123825</xdr:rowOff>
    </xdr:to>
    <xdr:graphicFrame>
      <xdr:nvGraphicFramePr>
        <xdr:cNvPr id="3" name="Chart 7"/>
        <xdr:cNvGraphicFramePr/>
      </xdr:nvGraphicFramePr>
      <xdr:xfrm>
        <a:off x="9305925" y="4124325"/>
        <a:ext cx="5838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11</xdr:row>
      <xdr:rowOff>66675</xdr:rowOff>
    </xdr:from>
    <xdr:to>
      <xdr:col>13</xdr:col>
      <xdr:colOff>123825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477000" y="1847850"/>
        <a:ext cx="59340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26</xdr:row>
      <xdr:rowOff>123825</xdr:rowOff>
    </xdr:from>
    <xdr:to>
      <xdr:col>13</xdr:col>
      <xdr:colOff>85725</xdr:colOff>
      <xdr:row>44</xdr:row>
      <xdr:rowOff>47625</xdr:rowOff>
    </xdr:to>
    <xdr:graphicFrame>
      <xdr:nvGraphicFramePr>
        <xdr:cNvPr id="2" name="Chart 3"/>
        <xdr:cNvGraphicFramePr/>
      </xdr:nvGraphicFramePr>
      <xdr:xfrm>
        <a:off x="6496050" y="4333875"/>
        <a:ext cx="58769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45</xdr:row>
      <xdr:rowOff>66675</xdr:rowOff>
    </xdr:from>
    <xdr:to>
      <xdr:col>23</xdr:col>
      <xdr:colOff>723900</xdr:colOff>
      <xdr:row>67</xdr:row>
      <xdr:rowOff>38100</xdr:rowOff>
    </xdr:to>
    <xdr:graphicFrame>
      <xdr:nvGraphicFramePr>
        <xdr:cNvPr id="3" name="Chart 4"/>
        <xdr:cNvGraphicFramePr/>
      </xdr:nvGraphicFramePr>
      <xdr:xfrm>
        <a:off x="12715875" y="7353300"/>
        <a:ext cx="73723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62</xdr:row>
      <xdr:rowOff>0</xdr:rowOff>
    </xdr:from>
    <xdr:to>
      <xdr:col>12</xdr:col>
      <xdr:colOff>295275</xdr:colOff>
      <xdr:row>77</xdr:row>
      <xdr:rowOff>123825</xdr:rowOff>
    </xdr:to>
    <xdr:graphicFrame>
      <xdr:nvGraphicFramePr>
        <xdr:cNvPr id="4" name="Chart 5"/>
        <xdr:cNvGraphicFramePr/>
      </xdr:nvGraphicFramePr>
      <xdr:xfrm>
        <a:off x="6305550" y="10039350"/>
        <a:ext cx="55149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28575</xdr:colOff>
      <xdr:row>90</xdr:row>
      <xdr:rowOff>95250</xdr:rowOff>
    </xdr:from>
    <xdr:to>
      <xdr:col>17</xdr:col>
      <xdr:colOff>647700</xdr:colOff>
      <xdr:row>92</xdr:row>
      <xdr:rowOff>28575</xdr:rowOff>
    </xdr:to>
    <xdr:sp>
      <xdr:nvSpPr>
        <xdr:cNvPr id="5" name="AutoShape 8"/>
        <xdr:cNvSpPr>
          <a:spLocks/>
        </xdr:cNvSpPr>
      </xdr:nvSpPr>
      <xdr:spPr>
        <a:xfrm flipH="1">
          <a:off x="14601825" y="14668500"/>
          <a:ext cx="1381125" cy="266700"/>
        </a:xfrm>
        <a:prstGeom prst="rt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87</xdr:row>
      <xdr:rowOff>0</xdr:rowOff>
    </xdr:from>
    <xdr:to>
      <xdr:col>13</xdr:col>
      <xdr:colOff>0</xdr:colOff>
      <xdr:row>98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2277725" y="14087475"/>
          <a:ext cx="95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tabSelected="1" zoomScalePageLayoutView="0" workbookViewId="0" topLeftCell="A1">
      <selection activeCell="E52" sqref="E52"/>
    </sheetView>
  </sheetViews>
  <sheetFormatPr defaultColWidth="11.421875" defaultRowHeight="12.75"/>
  <cols>
    <col min="1" max="1" width="1.57421875" style="0" customWidth="1"/>
    <col min="2" max="2" width="23.421875" style="0" customWidth="1"/>
    <col min="3" max="3" width="18.7109375" style="87" customWidth="1"/>
    <col min="4" max="4" width="1.7109375" style="0" customWidth="1"/>
    <col min="5" max="5" width="55.421875" style="0" customWidth="1"/>
    <col min="7" max="7" width="23.140625" style="0" customWidth="1"/>
    <col min="8" max="8" width="3.7109375" style="0" customWidth="1"/>
  </cols>
  <sheetData>
    <row r="1" spans="2:16" ht="19.5" customHeight="1" thickBot="1">
      <c r="B1" s="140" t="s">
        <v>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ht="6.75" customHeight="1" thickBot="1"/>
    <row r="3" spans="2:15" ht="18.75" thickBot="1">
      <c r="B3" s="115" t="s">
        <v>46</v>
      </c>
      <c r="C3" s="116"/>
      <c r="E3" s="117" t="s">
        <v>47</v>
      </c>
      <c r="F3" s="118"/>
      <c r="G3" s="118"/>
      <c r="I3" s="143" t="s">
        <v>49</v>
      </c>
      <c r="J3" s="143"/>
      <c r="K3" s="143"/>
      <c r="L3" s="143"/>
      <c r="M3" s="143"/>
      <c r="N3" s="143"/>
      <c r="O3" s="143"/>
    </row>
    <row r="4" spans="2:7" ht="6.75" customHeight="1" thickBot="1">
      <c r="B4" s="47"/>
      <c r="C4" s="80"/>
      <c r="E4" s="30"/>
      <c r="F4" s="30"/>
      <c r="G4" s="30"/>
    </row>
    <row r="5" spans="2:7" ht="15">
      <c r="B5" s="42" t="s">
        <v>18</v>
      </c>
      <c r="C5" s="81">
        <v>32300</v>
      </c>
      <c r="E5" s="34"/>
      <c r="F5" s="34"/>
      <c r="G5" s="34"/>
    </row>
    <row r="6" spans="2:7" ht="15">
      <c r="B6" s="43"/>
      <c r="C6" s="88"/>
      <c r="E6" s="32" t="s">
        <v>29</v>
      </c>
      <c r="F6" s="32"/>
      <c r="G6" s="61">
        <f>+Calculos!D12</f>
        <v>10220</v>
      </c>
    </row>
    <row r="7" spans="2:7" ht="15.75" thickBot="1">
      <c r="B7" s="44" t="s">
        <v>19</v>
      </c>
      <c r="C7" s="83">
        <v>28000</v>
      </c>
      <c r="E7" s="33" t="s">
        <v>30</v>
      </c>
      <c r="F7" s="33"/>
      <c r="G7" s="62">
        <f>IF(+Calculos!D16&gt;0,+Calculos!D16,0)</f>
        <v>6431</v>
      </c>
    </row>
    <row r="8" spans="2:7" ht="15.75" thickBot="1">
      <c r="B8" s="44" t="s">
        <v>20</v>
      </c>
      <c r="C8" s="83">
        <v>0</v>
      </c>
      <c r="E8" s="31"/>
      <c r="F8" s="31"/>
      <c r="G8" s="63"/>
    </row>
    <row r="9" spans="2:7" ht="15">
      <c r="B9" s="43"/>
      <c r="C9" s="82"/>
      <c r="E9" s="34" t="s">
        <v>33</v>
      </c>
      <c r="F9" s="34"/>
      <c r="G9" s="64">
        <f>+G7/G6</f>
        <v>0.6292563600782779</v>
      </c>
    </row>
    <row r="10" spans="2:7" ht="15.75" thickBot="1">
      <c r="B10" s="44" t="s">
        <v>21</v>
      </c>
      <c r="C10" s="82"/>
      <c r="E10" s="35" t="s">
        <v>34</v>
      </c>
      <c r="F10" s="35"/>
      <c r="G10" s="65">
        <f>1-G9</f>
        <v>0.3707436399217221</v>
      </c>
    </row>
    <row r="11" spans="2:7" ht="15.75" thickBot="1">
      <c r="B11" s="45" t="s">
        <v>23</v>
      </c>
      <c r="C11" s="84">
        <v>1</v>
      </c>
      <c r="E11" s="31"/>
      <c r="F11" s="31"/>
      <c r="G11" s="63"/>
    </row>
    <row r="12" spans="2:7" ht="15">
      <c r="B12" s="105" t="s">
        <v>24</v>
      </c>
      <c r="C12" s="106">
        <v>0</v>
      </c>
      <c r="E12" s="36" t="s">
        <v>31</v>
      </c>
      <c r="F12" s="36"/>
      <c r="G12" s="66">
        <f>IF(+DATOS!F21&lt;=1996,+Calculos!D21,0)</f>
        <v>9</v>
      </c>
    </row>
    <row r="13" spans="2:7" ht="15.75" thickBot="1">
      <c r="B13" s="45" t="s">
        <v>25</v>
      </c>
      <c r="C13" s="84">
        <v>0</v>
      </c>
      <c r="E13" s="35" t="s">
        <v>32</v>
      </c>
      <c r="F13" s="35"/>
      <c r="G13" s="67">
        <f>IF(+G12-2&gt;0,+G12-2,0)</f>
        <v>7</v>
      </c>
    </row>
    <row r="14" spans="2:3" ht="15">
      <c r="B14" s="43"/>
      <c r="C14" s="82"/>
    </row>
    <row r="15" spans="2:3" ht="15">
      <c r="B15" s="107" t="s">
        <v>74</v>
      </c>
      <c r="C15" s="108">
        <v>0</v>
      </c>
    </row>
    <row r="16" spans="2:7" ht="15">
      <c r="B16" s="44" t="s">
        <v>26</v>
      </c>
      <c r="C16" s="85">
        <v>42527</v>
      </c>
      <c r="E16" s="144" t="s">
        <v>36</v>
      </c>
      <c r="F16" s="144"/>
      <c r="G16" s="144"/>
    </row>
    <row r="17" spans="2:7" ht="15">
      <c r="B17" s="44"/>
      <c r="C17" s="88"/>
      <c r="E17" t="s">
        <v>22</v>
      </c>
      <c r="F17" s="68">
        <f>+Calculos!D24</f>
        <v>0.1111</v>
      </c>
      <c r="G17" s="69">
        <f>IF(G13&gt;0,IF((1-(G13*F17))*C11&lt;0,1,((G13*F17))*C11),0)</f>
        <v>0.7777000000000001</v>
      </c>
    </row>
    <row r="18" spans="2:7" ht="15">
      <c r="B18" s="44" t="s">
        <v>27</v>
      </c>
      <c r="C18" s="83">
        <v>444000</v>
      </c>
      <c r="E18" t="s">
        <v>12</v>
      </c>
      <c r="F18" s="68">
        <f>+Calculos!D26</f>
        <v>0.1428</v>
      </c>
      <c r="G18" s="109">
        <f>IF(G13&gt;0,IF((1-(G13*F18))*C12&lt;0,1,(1-(G13*F18))*C12),0)</f>
        <v>0</v>
      </c>
    </row>
    <row r="19" spans="2:19" ht="15.75" thickBot="1">
      <c r="B19" s="46" t="s">
        <v>54</v>
      </c>
      <c r="C19" s="86"/>
      <c r="E19" s="110" t="s">
        <v>35</v>
      </c>
      <c r="F19" s="111">
        <f>+Calculos!D25</f>
        <v>0.25</v>
      </c>
      <c r="G19" s="112">
        <f>IF(G13&gt;0,IF((1-(G13*F19))*C13&lt;0,0,(1-(G13*F19))*C13),0)</f>
        <v>0</v>
      </c>
      <c r="R19">
        <v>408000</v>
      </c>
      <c r="S19">
        <f>+R19*G9</f>
        <v>256736.59491193737</v>
      </c>
    </row>
    <row r="20" spans="6:19" ht="15">
      <c r="F20" s="70"/>
      <c r="G20" s="68">
        <f>IF(+C11&gt;0,+G17,IF(+C12&gt;0,+G18,IF(+C13&gt;0,+G19)))</f>
        <v>0.7777000000000001</v>
      </c>
      <c r="S20">
        <f>+S19*G17</f>
        <v>199664.0498630137</v>
      </c>
    </row>
    <row r="21" spans="5:7" ht="14.25" customHeight="1" thickBot="1">
      <c r="E21" s="37" t="s">
        <v>13</v>
      </c>
      <c r="F21" s="71">
        <f>YEAR(C5)</f>
        <v>1988</v>
      </c>
      <c r="G21" s="72">
        <f>+C7</f>
        <v>28000</v>
      </c>
    </row>
    <row r="22" spans="2:3" ht="14.25" customHeight="1">
      <c r="B22" s="134" t="s">
        <v>62</v>
      </c>
      <c r="C22" s="135"/>
    </row>
    <row r="23" spans="2:7" ht="14.25" customHeight="1">
      <c r="B23" s="136" t="s">
        <v>63</v>
      </c>
      <c r="C23" s="137"/>
      <c r="E23" s="125">
        <f>IF(G17+G18+G19=0,"REGIMEN TRANSITORIO SIN EFECTOS = REGIMEN GENERAL        CALCULO A EFECTOS INFORMATIVOS","")</f>
      </c>
      <c r="F23" s="126"/>
      <c r="G23" s="127"/>
    </row>
    <row r="24" spans="2:7" ht="14.25" customHeight="1">
      <c r="B24" s="136" t="s">
        <v>64</v>
      </c>
      <c r="C24" s="137"/>
      <c r="E24" s="128"/>
      <c r="F24" s="129"/>
      <c r="G24" s="130"/>
    </row>
    <row r="25" spans="2:7" ht="14.25" customHeight="1">
      <c r="B25" s="136" t="s">
        <v>65</v>
      </c>
      <c r="C25" s="137"/>
      <c r="E25" s="128"/>
      <c r="F25" s="129"/>
      <c r="G25" s="130"/>
    </row>
    <row r="26" spans="2:7" ht="14.25" customHeight="1" thickBot="1">
      <c r="B26" s="138" t="s">
        <v>66</v>
      </c>
      <c r="C26" s="139"/>
      <c r="E26" s="119" t="s">
        <v>56</v>
      </c>
      <c r="F26" s="120"/>
      <c r="G26" s="121"/>
    </row>
    <row r="27" spans="5:7" ht="14.25" customHeight="1">
      <c r="E27" s="122" t="s">
        <v>55</v>
      </c>
      <c r="F27" s="123"/>
      <c r="G27" s="124"/>
    </row>
    <row r="28" ht="14.25" customHeight="1">
      <c r="G28" s="9"/>
    </row>
    <row r="29" spans="5:7" ht="14.25" customHeight="1">
      <c r="E29" s="27" t="s">
        <v>41</v>
      </c>
      <c r="F29" s="27"/>
      <c r="G29" s="27"/>
    </row>
    <row r="30" ht="14.25" customHeight="1"/>
    <row r="31" spans="5:7" ht="14.25" customHeight="1">
      <c r="E31" s="38" t="s">
        <v>67</v>
      </c>
      <c r="G31" s="9">
        <f>+C18</f>
        <v>444000</v>
      </c>
    </row>
    <row r="32" spans="5:7" ht="14.25" customHeight="1">
      <c r="E32" s="38" t="s">
        <v>75</v>
      </c>
      <c r="G32" s="99">
        <f>+C15</f>
        <v>0</v>
      </c>
    </row>
    <row r="33" spans="5:7" ht="14.25" customHeight="1">
      <c r="E33" s="38" t="s">
        <v>68</v>
      </c>
      <c r="G33" s="99">
        <v>400000</v>
      </c>
    </row>
    <row r="34" spans="5:7" ht="14.25" customHeight="1">
      <c r="E34" s="38" t="s">
        <v>69</v>
      </c>
      <c r="G34" s="100">
        <f>IF(+G33-G32&gt;G31,+G31,+G33-G32)</f>
        <v>400000</v>
      </c>
    </row>
    <row r="35" spans="5:7" ht="14.25" customHeight="1">
      <c r="E35" s="38" t="s">
        <v>80</v>
      </c>
      <c r="G35" s="101">
        <f>+G34/G31</f>
        <v>0.9009009009009009</v>
      </c>
    </row>
    <row r="36" spans="5:7" ht="14.25" customHeight="1">
      <c r="E36" s="38" t="s">
        <v>78</v>
      </c>
      <c r="G36" s="9">
        <f>+G31-G37</f>
        <v>44000</v>
      </c>
    </row>
    <row r="37" spans="5:7" ht="14.25" customHeight="1">
      <c r="E37" s="38" t="s">
        <v>79</v>
      </c>
      <c r="G37" s="9">
        <f>+G35*G31</f>
        <v>400000</v>
      </c>
    </row>
    <row r="38" spans="5:7" ht="14.25" customHeight="1">
      <c r="E38" s="29" t="s">
        <v>39</v>
      </c>
      <c r="F38" s="29"/>
      <c r="G38" s="73">
        <f>+C18-C19</f>
        <v>444000</v>
      </c>
    </row>
    <row r="39" spans="5:7" ht="14.25" customHeight="1" thickBot="1">
      <c r="E39" s="102" t="s">
        <v>70</v>
      </c>
      <c r="F39" s="30"/>
      <c r="G39" s="74">
        <f>-G21</f>
        <v>-28000</v>
      </c>
    </row>
    <row r="40" spans="5:7" ht="14.25" customHeight="1" thickBot="1">
      <c r="E40" s="28" t="s">
        <v>40</v>
      </c>
      <c r="F40" s="28"/>
      <c r="G40" s="75">
        <f>+G38+G39</f>
        <v>416000</v>
      </c>
    </row>
    <row r="41" spans="5:7" ht="14.25" customHeight="1">
      <c r="E41" s="48"/>
      <c r="F41" s="48"/>
      <c r="G41" s="76"/>
    </row>
    <row r="42" spans="5:7" ht="14.25" customHeight="1">
      <c r="E42" s="49" t="s">
        <v>48</v>
      </c>
      <c r="G42" s="70"/>
    </row>
    <row r="43" spans="3:7" ht="14.25" customHeight="1">
      <c r="C43" s="90"/>
      <c r="E43" s="38" t="s">
        <v>42</v>
      </c>
      <c r="F43" s="38"/>
      <c r="G43" s="77">
        <f>+G40-G44</f>
        <v>154229.3542074364</v>
      </c>
    </row>
    <row r="44" spans="3:7" ht="14.25" customHeight="1">
      <c r="C44" s="89"/>
      <c r="E44" s="38" t="s">
        <v>43</v>
      </c>
      <c r="F44" s="38"/>
      <c r="G44" s="77">
        <f>+G40*G9</f>
        <v>261770.6457925636</v>
      </c>
    </row>
    <row r="45" spans="3:7" ht="14.25" customHeight="1">
      <c r="C45" s="90"/>
      <c r="E45" s="50" t="s">
        <v>77</v>
      </c>
      <c r="F45" s="50"/>
      <c r="G45" s="78">
        <f>+G44*G20</f>
        <v>203579.03123287673</v>
      </c>
    </row>
    <row r="46" spans="3:7" ht="14.25" customHeight="1">
      <c r="C46" s="90"/>
      <c r="E46" s="103" t="s">
        <v>73</v>
      </c>
      <c r="F46" s="103"/>
      <c r="G46" s="104">
        <f>+G35*G40*G9</f>
        <v>235829.41062393118</v>
      </c>
    </row>
    <row r="47" spans="3:7" ht="14.25" customHeight="1">
      <c r="C47" s="90"/>
      <c r="E47" s="103" t="s">
        <v>72</v>
      </c>
      <c r="F47" s="103"/>
      <c r="G47" s="104">
        <f>+G46*G17</f>
        <v>183404.5326422313</v>
      </c>
    </row>
    <row r="48" spans="3:7" ht="14.25" customHeight="1" hidden="1">
      <c r="C48" s="90"/>
      <c r="E48" s="103" t="s">
        <v>71</v>
      </c>
      <c r="F48" s="103"/>
      <c r="G48" s="104"/>
    </row>
    <row r="49" spans="5:7" ht="14.25" customHeight="1">
      <c r="E49" s="10" t="s">
        <v>44</v>
      </c>
      <c r="G49" s="79">
        <f>+G40-G47</f>
        <v>232595.4673577687</v>
      </c>
    </row>
    <row r="50" spans="5:6" ht="18.75" customHeight="1" thickBot="1">
      <c r="E50" t="s">
        <v>61</v>
      </c>
      <c r="F50" s="98">
        <f>+G51/G49</f>
        <v>0.2251847728903622</v>
      </c>
    </row>
    <row r="51" spans="5:7" ht="21.75" customHeight="1" thickBot="1">
      <c r="E51" s="39" t="s">
        <v>45</v>
      </c>
      <c r="F51" s="40"/>
      <c r="G51" s="41">
        <f>IF(+G6&gt;365,+Calculos!F99,"NO APLICABLE")</f>
        <v>52376.957492286805</v>
      </c>
    </row>
    <row r="52" ht="14.25" customHeight="1"/>
    <row r="53" ht="14.25" customHeight="1" thickBot="1">
      <c r="B53" s="38"/>
    </row>
    <row r="54" spans="2:7" ht="23.25" customHeight="1" thickBot="1">
      <c r="B54" s="113" t="s">
        <v>59</v>
      </c>
      <c r="C54" s="114"/>
      <c r="E54" s="131">
        <f>IF(G6&lt;365,+Calculos!B102,"")</f>
      </c>
      <c r="F54" s="132"/>
      <c r="G54" s="133"/>
    </row>
    <row r="55" spans="2:7" ht="23.25" customHeight="1" thickBot="1">
      <c r="B55" s="91" t="s">
        <v>57</v>
      </c>
      <c r="C55" s="92"/>
      <c r="E55" s="58"/>
      <c r="F55" s="59"/>
      <c r="G55" s="60"/>
    </row>
    <row r="56" spans="2:3" ht="15">
      <c r="B56" s="93">
        <v>6000</v>
      </c>
      <c r="C56" s="94">
        <v>0.19</v>
      </c>
    </row>
    <row r="57" spans="2:3" ht="15">
      <c r="B57" s="93">
        <v>50000</v>
      </c>
      <c r="C57" s="94">
        <v>0.21</v>
      </c>
    </row>
    <row r="58" spans="2:3" ht="15.75" thickBot="1">
      <c r="B58" s="95" t="s">
        <v>58</v>
      </c>
      <c r="C58" s="96">
        <v>0.23</v>
      </c>
    </row>
    <row r="60" ht="15">
      <c r="B60" s="10" t="s">
        <v>76</v>
      </c>
    </row>
  </sheetData>
  <sheetProtection/>
  <mergeCells count="15">
    <mergeCell ref="B25:C25"/>
    <mergeCell ref="B26:C26"/>
    <mergeCell ref="B1:P1"/>
    <mergeCell ref="I3:O3"/>
    <mergeCell ref="E16:G16"/>
    <mergeCell ref="B54:C54"/>
    <mergeCell ref="B3:C3"/>
    <mergeCell ref="E3:G3"/>
    <mergeCell ref="E26:G26"/>
    <mergeCell ref="E27:G27"/>
    <mergeCell ref="E23:G25"/>
    <mergeCell ref="E54:G54"/>
    <mergeCell ref="B22:C22"/>
    <mergeCell ref="B23:C23"/>
    <mergeCell ref="B24:C24"/>
  </mergeCells>
  <printOptions/>
  <pageMargins left="0.49" right="0.2" top="0.7" bottom="0.43" header="0" footer="0"/>
  <pageSetup fitToHeight="1" fitToWidth="1" horizontalDpi="600" verticalDpi="600" orientation="landscape" paperSize="9" scale="63" r:id="rId2"/>
  <headerFooter alignWithMargins="0">
    <oddHeader>&amp;CNOTARIOS ASOCIADOS, S.C.P.
Ruiz Zorrilla, 1 - 2º-3º-4º
12001 CASTELLON</oddHeader>
    <oddFooter>&amp;L&amp;"Arial,Negrita"&amp;14CALCULO APROXIMADO EFECTO IMPOSITIVO I.R.P.F.  DE LA TRANSMISION&amp;C&amp;D&amp;RPágina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02"/>
  <sheetViews>
    <sheetView zoomScalePageLayoutView="0" workbookViewId="0" topLeftCell="A56">
      <selection activeCell="A104" sqref="A104"/>
    </sheetView>
  </sheetViews>
  <sheetFormatPr defaultColWidth="11.421875" defaultRowHeight="12.75"/>
  <cols>
    <col min="2" max="2" width="11.8515625" style="0" bestFit="1" customWidth="1"/>
    <col min="3" max="3" width="21.00390625" style="0" customWidth="1"/>
    <col min="4" max="4" width="16.140625" style="0" customWidth="1"/>
    <col min="5" max="5" width="14.00390625" style="0" customWidth="1"/>
    <col min="6" max="6" width="17.140625" style="0" customWidth="1"/>
    <col min="8" max="8" width="18.140625" style="0" bestFit="1" customWidth="1"/>
    <col min="9" max="9" width="15.00390625" style="0" customWidth="1"/>
    <col min="10" max="10" width="13.421875" style="0" customWidth="1"/>
    <col min="12" max="12" width="11.8515625" style="0" bestFit="1" customWidth="1"/>
    <col min="19" max="19" width="3.28125" style="0" customWidth="1"/>
  </cols>
  <sheetData>
    <row r="3" spans="3:4" ht="12.75">
      <c r="C3" t="s">
        <v>13</v>
      </c>
      <c r="D3" s="8">
        <f>+DATOS!C7+DATOS!C8</f>
        <v>28000</v>
      </c>
    </row>
    <row r="4" spans="3:4" ht="12.75">
      <c r="C4" t="s">
        <v>14</v>
      </c>
      <c r="D4" s="8">
        <f>+DATOS!G21</f>
        <v>28000</v>
      </c>
    </row>
    <row r="5" spans="3:4" ht="12.75">
      <c r="C5" t="s">
        <v>15</v>
      </c>
      <c r="D5" s="8">
        <f>+DATOS!C18-DATOS!C19</f>
        <v>444000</v>
      </c>
    </row>
    <row r="6" spans="3:10" ht="12.75">
      <c r="C6" t="s">
        <v>16</v>
      </c>
      <c r="D6" s="8">
        <f>+D5-D4</f>
        <v>416000</v>
      </c>
      <c r="G6">
        <f>+D6/D12</f>
        <v>40.70450097847358</v>
      </c>
      <c r="H6" s="1">
        <f>+D8</f>
        <v>32300</v>
      </c>
      <c r="I6" s="9">
        <v>0</v>
      </c>
      <c r="J6">
        <v>0</v>
      </c>
    </row>
    <row r="7" spans="8:10" ht="12.75">
      <c r="H7" s="1">
        <f>+B19</f>
        <v>35430</v>
      </c>
      <c r="I7" s="8">
        <f>IF(+DATOS!G12&lt;2,0,+G6*E19)</f>
        <v>127276.19047619049</v>
      </c>
      <c r="J7" s="9">
        <f>+I7</f>
        <v>127276.19047619049</v>
      </c>
    </row>
    <row r="8" spans="3:10" ht="12.75">
      <c r="C8" t="s">
        <v>0</v>
      </c>
      <c r="D8" s="2">
        <f>+DATOS!C5</f>
        <v>32300</v>
      </c>
      <c r="H8" s="1">
        <f>+B14</f>
        <v>38736</v>
      </c>
      <c r="I8" s="8">
        <f>IF(+DATOS!G7=0,0,+D16*G6)</f>
        <v>261770.64579256362</v>
      </c>
      <c r="J8" s="9">
        <f>+I8-J7</f>
        <v>134494.45531637315</v>
      </c>
    </row>
    <row r="9" spans="3:10" ht="12.75">
      <c r="C9" t="s">
        <v>1</v>
      </c>
      <c r="D9" s="2">
        <f>+DATOS!C16</f>
        <v>42527</v>
      </c>
      <c r="H9" s="1">
        <f>+D9</f>
        <v>42527</v>
      </c>
      <c r="I9" s="8">
        <f>+D12*G6</f>
        <v>416000</v>
      </c>
      <c r="J9" s="9">
        <f>+I9-J8-J7</f>
        <v>154229.35420743638</v>
      </c>
    </row>
    <row r="10" spans="3:4" ht="12.75">
      <c r="C10" t="s">
        <v>4</v>
      </c>
      <c r="D10" s="3">
        <f>DAYS360(D8,D9,TRUE)</f>
        <v>10080</v>
      </c>
    </row>
    <row r="11" spans="3:5" ht="12.75">
      <c r="C11" t="s">
        <v>5</v>
      </c>
      <c r="D11" s="4">
        <f>+D10/360</f>
        <v>28</v>
      </c>
      <c r="E11">
        <f>+D11*5</f>
        <v>140</v>
      </c>
    </row>
    <row r="12" spans="3:4" ht="12.75">
      <c r="C12" s="14" t="s">
        <v>6</v>
      </c>
      <c r="D12" s="15">
        <f>ROUND(E11,0)+D10</f>
        <v>10220</v>
      </c>
    </row>
    <row r="14" spans="2:4" ht="12.75">
      <c r="B14" s="1">
        <v>38736</v>
      </c>
      <c r="C14" t="s">
        <v>2</v>
      </c>
      <c r="D14" s="3">
        <f>DAYS360(D8,B14,TRUE)</f>
        <v>6343</v>
      </c>
    </row>
    <row r="15" spans="2:5" ht="12.75">
      <c r="B15" s="1"/>
      <c r="C15" t="s">
        <v>5</v>
      </c>
      <c r="D15" s="4">
        <f>+D14/360</f>
        <v>17.619444444444444</v>
      </c>
      <c r="E15">
        <f>+D15*5</f>
        <v>88.09722222222221</v>
      </c>
    </row>
    <row r="16" spans="2:4" ht="12.75">
      <c r="B16" s="18">
        <f>+B14</f>
        <v>38736</v>
      </c>
      <c r="C16" s="14" t="s">
        <v>6</v>
      </c>
      <c r="D16" s="15">
        <f>ROUND(E15,0)+D14</f>
        <v>6431</v>
      </c>
    </row>
    <row r="17" spans="2:4" ht="12.75">
      <c r="B17" s="1"/>
      <c r="D17" s="3"/>
    </row>
    <row r="19" spans="2:5" ht="12.75">
      <c r="B19" s="1">
        <v>35430</v>
      </c>
      <c r="C19" t="s">
        <v>9</v>
      </c>
      <c r="D19" s="3">
        <f>DAYS360(D8,B19,TRUE)</f>
        <v>3084</v>
      </c>
      <c r="E19">
        <f>+D19+D20*5</f>
        <v>3126.8333333333335</v>
      </c>
    </row>
    <row r="20" spans="2:4" ht="12.75">
      <c r="B20" s="1"/>
      <c r="C20" t="s">
        <v>5</v>
      </c>
      <c r="D20" s="4">
        <f>+D19/360</f>
        <v>8.566666666666666</v>
      </c>
    </row>
    <row r="21" spans="2:5" ht="12.75">
      <c r="B21" s="16">
        <f>+B19</f>
        <v>35430</v>
      </c>
      <c r="C21" s="17" t="s">
        <v>3</v>
      </c>
      <c r="D21" s="19">
        <f>ROUND(D20-0.5,0)+1</f>
        <v>9</v>
      </c>
      <c r="E21">
        <f>+D21*D24</f>
        <v>0.9999</v>
      </c>
    </row>
    <row r="22" spans="2:4" ht="12.75">
      <c r="B22" s="1">
        <f>+B21</f>
        <v>35430</v>
      </c>
      <c r="C22" t="s">
        <v>28</v>
      </c>
      <c r="D22" s="3">
        <f>+D19+D21*5</f>
        <v>3129</v>
      </c>
    </row>
    <row r="23" spans="2:4" ht="12.75">
      <c r="B23" s="1"/>
      <c r="D23" s="3"/>
    </row>
    <row r="24" spans="3:4" ht="12.75">
      <c r="C24" s="20" t="s">
        <v>10</v>
      </c>
      <c r="D24" s="21">
        <v>0.1111</v>
      </c>
    </row>
    <row r="25" spans="3:4" ht="12.75">
      <c r="C25" s="22" t="s">
        <v>11</v>
      </c>
      <c r="D25" s="23">
        <v>0.25</v>
      </c>
    </row>
    <row r="26" spans="3:4" ht="12.75">
      <c r="C26" s="24" t="s">
        <v>12</v>
      </c>
      <c r="D26" s="25">
        <v>0.1428</v>
      </c>
    </row>
    <row r="29" spans="3:6" ht="12.75">
      <c r="C29" t="s">
        <v>7</v>
      </c>
      <c r="D29" s="5">
        <f>1-D30</f>
        <v>0.3707436399217221</v>
      </c>
      <c r="F29" s="8">
        <f>+D29*D6</f>
        <v>154229.3542074364</v>
      </c>
    </row>
    <row r="30" spans="3:6" ht="12.75">
      <c r="C30" t="s">
        <v>8</v>
      </c>
      <c r="D30" s="5">
        <f>+D16/D12</f>
        <v>0.6292563600782779</v>
      </c>
      <c r="E30" s="7">
        <f>IF(E21&lt;1,1-E21,0)</f>
        <v>9.999999999998899E-05</v>
      </c>
      <c r="F30" s="8">
        <f>+E30*D30*D6</f>
        <v>26.177064579253475</v>
      </c>
    </row>
    <row r="31" ht="12.75">
      <c r="E31" s="7">
        <f>+E30*D30</f>
        <v>6.292563600782086E-05</v>
      </c>
    </row>
    <row r="32" spans="5:6" ht="12.75">
      <c r="E32" s="10" t="s">
        <v>17</v>
      </c>
      <c r="F32" s="11">
        <f>+F29+F30</f>
        <v>154255.53127201565</v>
      </c>
    </row>
    <row r="34" spans="5:6" ht="12.75">
      <c r="E34" s="12">
        <v>0.18</v>
      </c>
      <c r="F34" s="13">
        <f>+E34*F32</f>
        <v>27765.995628962817</v>
      </c>
    </row>
    <row r="36" spans="3:4" ht="12.75">
      <c r="C36" t="s">
        <v>14</v>
      </c>
      <c r="D36">
        <f>IF(+DATOS!F21&lt;=1984,+Calculos!E44,+Calculos!D40)</f>
        <v>1.3167</v>
      </c>
    </row>
    <row r="37" ht="12.75">
      <c r="D37" s="9">
        <f>+D36*(DATOS!C8+DATOS!C7)</f>
        <v>36867.6</v>
      </c>
    </row>
    <row r="40" ht="12.75">
      <c r="D40">
        <f>VLOOKUP(DATOS!F21,D45:E76,2,FALSE)</f>
        <v>1.3167</v>
      </c>
    </row>
    <row r="43" spans="4:5" ht="12.75">
      <c r="D43" t="s">
        <v>37</v>
      </c>
      <c r="E43" t="s">
        <v>38</v>
      </c>
    </row>
    <row r="44" ht="12.75">
      <c r="E44" s="26">
        <v>1.3167</v>
      </c>
    </row>
    <row r="45" spans="4:5" ht="12.75">
      <c r="D45">
        <v>1984</v>
      </c>
      <c r="E45" s="26">
        <v>1.3167</v>
      </c>
    </row>
    <row r="46" spans="4:5" ht="12.75">
      <c r="D46">
        <v>1985</v>
      </c>
      <c r="E46" s="26">
        <v>1.3167</v>
      </c>
    </row>
    <row r="47" spans="4:5" ht="12.75">
      <c r="D47">
        <v>1986</v>
      </c>
      <c r="E47" s="26">
        <v>1.3167</v>
      </c>
    </row>
    <row r="48" spans="4:5" ht="12.75">
      <c r="D48">
        <v>1987</v>
      </c>
      <c r="E48" s="26">
        <v>1.3167</v>
      </c>
    </row>
    <row r="49" spans="4:13" ht="12.75">
      <c r="D49">
        <v>1988</v>
      </c>
      <c r="E49" s="26">
        <v>1.3167</v>
      </c>
      <c r="G49" s="145" t="s">
        <v>50</v>
      </c>
      <c r="H49" s="145"/>
      <c r="I49" s="145"/>
      <c r="J49" s="9">
        <f>+DATOS!G43</f>
        <v>154229.3542074364</v>
      </c>
      <c r="K49" s="6">
        <f>+J49/DATOS!G40</f>
        <v>0.37074363992172216</v>
      </c>
      <c r="L49" t="str">
        <f>+G49</f>
        <v>Ganancia Régimen General</v>
      </c>
      <c r="M49" s="9">
        <f>+J49</f>
        <v>154229.3542074364</v>
      </c>
    </row>
    <row r="50" spans="4:13" ht="12.75">
      <c r="D50">
        <v>1989</v>
      </c>
      <c r="E50" s="26">
        <v>1.3167</v>
      </c>
      <c r="G50" s="145" t="s">
        <v>51</v>
      </c>
      <c r="H50" s="145"/>
      <c r="I50" s="145"/>
      <c r="J50" s="9">
        <f>+DATOS!G44</f>
        <v>261770.6457925636</v>
      </c>
      <c r="K50" s="7">
        <f>+J50/DATOS!G40</f>
        <v>0.6292563600782779</v>
      </c>
      <c r="L50" t="str">
        <f>+G50</f>
        <v>Ganancia Sujeta Regimen Transitorio</v>
      </c>
      <c r="M50" s="9">
        <f>+J50</f>
        <v>261770.6457925636</v>
      </c>
    </row>
    <row r="51" spans="4:13" ht="12.75">
      <c r="D51">
        <v>1990</v>
      </c>
      <c r="E51" s="26">
        <v>1.3167</v>
      </c>
      <c r="G51" s="145" t="s">
        <v>82</v>
      </c>
      <c r="H51" s="145"/>
      <c r="I51" s="145"/>
      <c r="J51" s="9">
        <f>+DATOS!G45</f>
        <v>203579.03123287673</v>
      </c>
      <c r="K51" s="7">
        <f>+J51/DATOS!G40</f>
        <v>0.48937267123287675</v>
      </c>
      <c r="L51" t="str">
        <f>+G51</f>
        <v>Ganancia EXENTA amtes Lte Régimen Transitorio</v>
      </c>
      <c r="M51" s="9">
        <f>+J51</f>
        <v>203579.03123287673</v>
      </c>
    </row>
    <row r="52" spans="4:5" ht="12.75">
      <c r="D52">
        <v>1991</v>
      </c>
      <c r="E52" s="26">
        <v>1.3167</v>
      </c>
    </row>
    <row r="53" spans="4:5" ht="12.75">
      <c r="D53">
        <v>1992</v>
      </c>
      <c r="E53" s="26">
        <v>1.3167</v>
      </c>
    </row>
    <row r="54" spans="4:5" ht="12.75">
      <c r="D54">
        <v>1993</v>
      </c>
      <c r="E54" s="26">
        <v>1.3167</v>
      </c>
    </row>
    <row r="55" spans="4:5" ht="12.75">
      <c r="D55">
        <v>1994</v>
      </c>
      <c r="E55" s="26">
        <v>1.3299</v>
      </c>
    </row>
    <row r="56" spans="4:5" ht="12.75">
      <c r="D56">
        <v>1995</v>
      </c>
      <c r="E56" s="26">
        <v>1.405</v>
      </c>
    </row>
    <row r="57" spans="4:6" ht="12.75">
      <c r="D57">
        <v>1996</v>
      </c>
      <c r="E57" s="26">
        <v>1.3569</v>
      </c>
      <c r="F57">
        <f>+E66/E67</f>
        <v>1.0200860832137733</v>
      </c>
    </row>
    <row r="58" spans="4:12" ht="12.75">
      <c r="D58">
        <v>1997</v>
      </c>
      <c r="E58" s="26">
        <v>1.3299</v>
      </c>
      <c r="G58" s="145" t="s">
        <v>52</v>
      </c>
      <c r="H58" s="145"/>
      <c r="I58" s="145"/>
      <c r="J58" s="8">
        <f>+DATOS!$F$50*DATOS!$G$43</f>
        <v>34730.102100228796</v>
      </c>
      <c r="K58" t="str">
        <f>+G58</f>
        <v>Impuesto derivado Régimen General</v>
      </c>
      <c r="L58" s="9">
        <f>+J58</f>
        <v>34730.102100228796</v>
      </c>
    </row>
    <row r="59" spans="4:12" ht="12.75">
      <c r="D59">
        <v>1998</v>
      </c>
      <c r="E59" s="26">
        <v>1.3041</v>
      </c>
      <c r="G59" s="145" t="s">
        <v>53</v>
      </c>
      <c r="H59" s="145"/>
      <c r="I59" s="145"/>
      <c r="J59" s="8">
        <f>+DATOS!$G$44*DATOS!$F$50</f>
        <v>58946.76342216188</v>
      </c>
      <c r="K59" t="str">
        <f>+G59</f>
        <v>Impuesto derivado Régimen Transitorio</v>
      </c>
      <c r="L59" s="9">
        <f>+J59</f>
        <v>58946.76342216188</v>
      </c>
    </row>
    <row r="60" spans="4:12" ht="12.75">
      <c r="D60">
        <v>1999</v>
      </c>
      <c r="E60" s="26">
        <v>1.2807</v>
      </c>
      <c r="G60" t="s">
        <v>81</v>
      </c>
      <c r="J60" s="8">
        <f>+DATOS!G46*DATOS!F50</f>
        <v>53105.192272217915</v>
      </c>
      <c r="K60" t="str">
        <f>+G60</f>
        <v>Impuesto derivado Lte Regimen Trabnsitorio</v>
      </c>
      <c r="L60" s="9">
        <f>+J60</f>
        <v>53105.192272217915</v>
      </c>
    </row>
    <row r="61" spans="4:5" ht="12.75">
      <c r="D61">
        <v>2000</v>
      </c>
      <c r="E61" s="26">
        <v>1.256</v>
      </c>
    </row>
    <row r="62" spans="4:5" ht="12.75">
      <c r="D62">
        <v>2001</v>
      </c>
      <c r="E62" s="26">
        <v>1.2314</v>
      </c>
    </row>
    <row r="63" spans="4:5" ht="12.75">
      <c r="D63">
        <v>2002</v>
      </c>
      <c r="E63" s="26">
        <v>1.2072</v>
      </c>
    </row>
    <row r="64" spans="4:5" ht="12.75">
      <c r="D64">
        <v>2003</v>
      </c>
      <c r="E64" s="26">
        <v>1.1836</v>
      </c>
    </row>
    <row r="65" spans="4:5" ht="12.75">
      <c r="D65">
        <v>2004</v>
      </c>
      <c r="E65" s="26">
        <v>1.1604</v>
      </c>
    </row>
    <row r="66" spans="4:5" ht="12.75">
      <c r="D66">
        <v>2005</v>
      </c>
      <c r="E66" s="26">
        <v>1.1376</v>
      </c>
    </row>
    <row r="67" spans="4:5" ht="12.75">
      <c r="D67">
        <v>2006</v>
      </c>
      <c r="E67" s="26">
        <v>1.1152</v>
      </c>
    </row>
    <row r="68" spans="4:5" ht="12.75">
      <c r="D68">
        <v>2007</v>
      </c>
      <c r="E68" s="26">
        <v>1.0934</v>
      </c>
    </row>
    <row r="69" spans="4:5" ht="12.75">
      <c r="D69">
        <v>2008</v>
      </c>
      <c r="E69" s="26">
        <v>1.072</v>
      </c>
    </row>
    <row r="70" spans="4:5" ht="12.75">
      <c r="D70">
        <v>2009</v>
      </c>
      <c r="E70" s="26">
        <v>1.051</v>
      </c>
    </row>
    <row r="71" spans="4:5" ht="12.75">
      <c r="D71">
        <v>2010</v>
      </c>
      <c r="E71" s="26">
        <v>1.0406</v>
      </c>
    </row>
    <row r="72" spans="4:5" ht="12.75">
      <c r="D72">
        <v>2011</v>
      </c>
      <c r="E72" s="26">
        <v>1.0303</v>
      </c>
    </row>
    <row r="73" spans="4:5" ht="12.75">
      <c r="D73">
        <v>2012</v>
      </c>
      <c r="E73" s="26">
        <v>1.0201</v>
      </c>
    </row>
    <row r="74" spans="4:5" ht="12.75">
      <c r="D74">
        <v>2013</v>
      </c>
      <c r="E74" s="26">
        <v>1.01</v>
      </c>
    </row>
    <row r="75" spans="4:5" ht="12.75">
      <c r="D75">
        <v>2014</v>
      </c>
      <c r="E75" s="26">
        <v>1</v>
      </c>
    </row>
    <row r="76" spans="4:5" ht="12.75">
      <c r="D76">
        <v>2015</v>
      </c>
      <c r="E76" s="26">
        <v>1</v>
      </c>
    </row>
    <row r="77" spans="4:5" ht="12.75">
      <c r="D77">
        <v>2016</v>
      </c>
      <c r="E77" s="26">
        <v>1</v>
      </c>
    </row>
    <row r="83" ht="12.75">
      <c r="N83" s="51"/>
    </row>
    <row r="84" spans="6:9" ht="12.75">
      <c r="F84" t="s">
        <v>16</v>
      </c>
      <c r="G84">
        <v>1000</v>
      </c>
      <c r="H84">
        <v>20</v>
      </c>
      <c r="I84">
        <f>+G84/H84</f>
        <v>50</v>
      </c>
    </row>
    <row r="85" spans="6:7" ht="12.75">
      <c r="F85">
        <v>1992</v>
      </c>
      <c r="G85">
        <v>0</v>
      </c>
    </row>
    <row r="86" spans="6:17" ht="12.75">
      <c r="F86">
        <v>1996</v>
      </c>
      <c r="G86">
        <f>+H86*I84</f>
        <v>200</v>
      </c>
      <c r="H86">
        <f>+F86-F85</f>
        <v>4</v>
      </c>
      <c r="M86" s="29"/>
      <c r="N86" s="29"/>
      <c r="O86" s="29"/>
      <c r="P86" s="29"/>
      <c r="Q86" s="29"/>
    </row>
    <row r="87" spans="6:17" ht="12.75">
      <c r="F87">
        <v>2006</v>
      </c>
      <c r="G87">
        <f>+H87*I84</f>
        <v>700</v>
      </c>
      <c r="H87">
        <f>+F87-F85</f>
        <v>14</v>
      </c>
      <c r="M87" s="29"/>
      <c r="N87" s="29"/>
      <c r="O87" s="29"/>
      <c r="P87" s="29"/>
      <c r="Q87" s="29"/>
    </row>
    <row r="88" spans="6:17" ht="12.75">
      <c r="F88">
        <v>2012</v>
      </c>
      <c r="G88">
        <f>+G84</f>
        <v>1000</v>
      </c>
      <c r="H88">
        <f>+F88-F85</f>
        <v>20</v>
      </c>
      <c r="M88" s="54"/>
      <c r="N88" s="29"/>
      <c r="O88" s="29"/>
      <c r="P88" s="52"/>
      <c r="Q88" s="29"/>
    </row>
    <row r="89" spans="13:17" ht="12.75">
      <c r="M89" s="54"/>
      <c r="N89" s="29"/>
      <c r="O89" s="29"/>
      <c r="P89" s="52"/>
      <c r="Q89" s="29"/>
    </row>
    <row r="90" spans="13:17" ht="12.75">
      <c r="M90" s="54"/>
      <c r="N90" s="29"/>
      <c r="O90" s="29"/>
      <c r="P90" s="52"/>
      <c r="Q90" s="29"/>
    </row>
    <row r="91" spans="13:17" ht="12.75">
      <c r="M91" s="54"/>
      <c r="N91" s="29"/>
      <c r="O91" s="29"/>
      <c r="P91" s="52"/>
      <c r="Q91" s="29"/>
    </row>
    <row r="92" spans="12:17" ht="13.5" thickBot="1">
      <c r="L92" s="53"/>
      <c r="M92" s="54"/>
      <c r="N92" s="29"/>
      <c r="O92" s="29"/>
      <c r="P92" s="52"/>
      <c r="Q92" s="29"/>
    </row>
    <row r="93" spans="2:17" ht="13.5" thickBot="1">
      <c r="B93" s="113" t="s">
        <v>59</v>
      </c>
      <c r="C93" s="114"/>
      <c r="D93" s="9">
        <f>+DATOS!G49</f>
        <v>232595.4673577687</v>
      </c>
      <c r="L93" s="53"/>
      <c r="M93" s="54"/>
      <c r="N93" s="29"/>
      <c r="O93" s="29"/>
      <c r="P93" s="52"/>
      <c r="Q93" s="29"/>
    </row>
    <row r="94" spans="2:17" ht="15">
      <c r="B94" s="91" t="s">
        <v>57</v>
      </c>
      <c r="C94" s="92"/>
      <c r="L94" s="53"/>
      <c r="M94" s="54"/>
      <c r="N94" s="29"/>
      <c r="O94" s="29"/>
      <c r="P94" s="52"/>
      <c r="Q94" s="29"/>
    </row>
    <row r="95" spans="2:19" ht="15">
      <c r="B95" s="93">
        <v>6000</v>
      </c>
      <c r="C95" s="94">
        <f>+DATOS!C56</f>
        <v>0.19</v>
      </c>
      <c r="D95" s="8">
        <v>6000</v>
      </c>
      <c r="E95" s="9">
        <f>+D93-D95</f>
        <v>226595.4673577687</v>
      </c>
      <c r="F95" s="8">
        <f>IF(E95&gt;0,+B95*C95,+D93*C95)</f>
        <v>1140</v>
      </c>
      <c r="H95" s="9">
        <f>+D95*C95</f>
        <v>1140</v>
      </c>
      <c r="L95" s="53"/>
      <c r="M95" s="54"/>
      <c r="N95" s="29"/>
      <c r="O95" s="29"/>
      <c r="P95" s="52"/>
      <c r="Q95" s="29"/>
      <c r="R95" s="29"/>
      <c r="S95" s="29"/>
    </row>
    <row r="96" spans="2:19" ht="15.75" thickBot="1">
      <c r="B96" s="93">
        <v>50000</v>
      </c>
      <c r="C96" s="94">
        <f>+DATOS!C57</f>
        <v>0.21</v>
      </c>
      <c r="D96" s="9">
        <f>+B96-D95</f>
        <v>44000</v>
      </c>
      <c r="E96" s="9">
        <f>+D93-D96-D95</f>
        <v>182595.4673577687</v>
      </c>
      <c r="F96" s="8">
        <f>IF(+E95&gt;0,IF(+E95&gt;44000,D96*C96,+E95*C96),0)</f>
        <v>9240</v>
      </c>
      <c r="H96" s="9">
        <f>+D96*C96</f>
        <v>9240</v>
      </c>
      <c r="L96" s="53"/>
      <c r="M96" s="55"/>
      <c r="N96" s="56"/>
      <c r="O96" s="56"/>
      <c r="P96" s="57"/>
      <c r="Q96" s="56"/>
      <c r="R96" s="56"/>
      <c r="S96" s="56"/>
    </row>
    <row r="97" spans="2:19" ht="15.75" thickTop="1">
      <c r="B97" s="93"/>
      <c r="C97" s="94"/>
      <c r="D97" s="9"/>
      <c r="E97" s="9"/>
      <c r="F97" s="8"/>
      <c r="L97" s="53"/>
      <c r="M97" s="29"/>
      <c r="N97" s="29"/>
      <c r="O97" s="29"/>
      <c r="P97" s="29"/>
      <c r="Q97" s="29"/>
      <c r="R97" s="29"/>
      <c r="S97" s="29"/>
    </row>
    <row r="98" spans="2:14" ht="15.75" thickBot="1">
      <c r="B98" s="95" t="s">
        <v>58</v>
      </c>
      <c r="C98" s="96">
        <f>+DATOS!C58</f>
        <v>0.23</v>
      </c>
      <c r="D98" s="9"/>
      <c r="E98" s="9">
        <f>+E96</f>
        <v>182595.4673577687</v>
      </c>
      <c r="F98" s="8">
        <f>IF(E96&gt;0,+E98*C98)</f>
        <v>41996.957492286805</v>
      </c>
      <c r="H98" s="9">
        <f>+E98*C98</f>
        <v>41996.957492286805</v>
      </c>
      <c r="L98" s="53"/>
      <c r="N98" s="29"/>
    </row>
    <row r="99" spans="6:14" ht="12.75">
      <c r="F99" s="11">
        <f>+F98+F97+F96+F95</f>
        <v>52376.957492286805</v>
      </c>
      <c r="N99" s="29"/>
    </row>
    <row r="100" ht="12.75">
      <c r="N100" s="29"/>
    </row>
    <row r="101" ht="12.75">
      <c r="N101" s="29"/>
    </row>
    <row r="102" spans="2:9" ht="12.75">
      <c r="B102" s="97" t="s">
        <v>60</v>
      </c>
      <c r="I102">
        <v>1</v>
      </c>
    </row>
  </sheetData>
  <sheetProtection/>
  <mergeCells count="6">
    <mergeCell ref="B93:C93"/>
    <mergeCell ref="G59:I59"/>
    <mergeCell ref="G49:I49"/>
    <mergeCell ref="G50:I50"/>
    <mergeCell ref="G51:I51"/>
    <mergeCell ref="G58:I58"/>
  </mergeCells>
  <printOptions/>
  <pageMargins left="0.75" right="0.2" top="0.47" bottom="0.4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ERNESTO TARRAGON ALBELLA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 1</dc:creator>
  <cp:keywords/>
  <dc:description/>
  <cp:lastModifiedBy>ERNESTO</cp:lastModifiedBy>
  <cp:lastPrinted>2007-09-24T12:05:44Z</cp:lastPrinted>
  <dcterms:created xsi:type="dcterms:W3CDTF">2006-11-17T12:51:27Z</dcterms:created>
  <dcterms:modified xsi:type="dcterms:W3CDTF">2016-06-08T08:15:41Z</dcterms:modified>
  <cp:category/>
  <cp:version/>
  <cp:contentType/>
  <cp:contentStatus/>
</cp:coreProperties>
</file>